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15195" windowHeight="8445" tabRatio="928" activeTab="16"/>
  </bookViews>
  <sheets>
    <sheet name="Korrektur" sheetId="1" r:id="rId1"/>
    <sheet name="ErgInt" sheetId="2" r:id="rId2"/>
    <sheet name="Fin" sheetId="3" r:id="rId3"/>
    <sheet name="Plan" sheetId="4" r:id="rId4"/>
    <sheet name="Ist" sheetId="5" r:id="rId5"/>
    <sheet name="Milch" sheetId="6" r:id="rId6"/>
    <sheet name="MuKu" sheetId="7" state="hidden" r:id="rId7"/>
    <sheet name="Lamm" sheetId="8" r:id="rId8"/>
    <sheet name="1xDgl" sheetId="9" r:id="rId9"/>
    <sheet name="WD.1Dgl" sheetId="10" r:id="rId10"/>
    <sheet name="Jog" sheetId="11" r:id="rId11"/>
    <sheet name="FK" sheetId="12" r:id="rId12"/>
    <sheet name="UV" sheetId="13" r:id="rId13"/>
    <sheet name="AV" sheetId="14" r:id="rId14"/>
    <sheet name="MKK1" sheetId="15" r:id="rId15"/>
    <sheet name="MKK2" sheetId="16" r:id="rId16"/>
    <sheet name="Geb" sheetId="17" r:id="rId17"/>
  </sheets>
  <externalReferences>
    <externalReference r:id="rId20"/>
    <externalReference r:id="rId21"/>
  </externalReferences>
  <definedNames>
    <definedName name="Ankreuzen" localSheetId="1">'ErgInt'!$T$38:$U$38</definedName>
    <definedName name="Arbeitskräfte" localSheetId="1">'ErgInt'!$T$91:$T$93</definedName>
    <definedName name="Arbeitskräfte" localSheetId="16">#REF!</definedName>
    <definedName name="Arbeitskräfte">#REF!</definedName>
    <definedName name="_xlnm.Print_Area" localSheetId="8">'1xDgl'!$A$1:$J$66</definedName>
    <definedName name="_xlnm.Print_Area" localSheetId="13">'AV'!$A$1:$K$41</definedName>
    <definedName name="_xlnm.Print_Area" localSheetId="1">'ErgInt'!$C$1:$Q$268</definedName>
    <definedName name="_xlnm.Print_Area" localSheetId="2">'Fin'!$A$1:$H$46</definedName>
    <definedName name="_xlnm.Print_Area" localSheetId="11">'FK'!$A$1:$E$18</definedName>
    <definedName name="_xlnm.Print_Area" localSheetId="16">'Geb'!$A$1:$P$83</definedName>
    <definedName name="_xlnm.Print_Area" localSheetId="4">'Ist'!$A$1:$J$44</definedName>
    <definedName name="_xlnm.Print_Area" localSheetId="10">'Jog'!$A$1:$I$47</definedName>
    <definedName name="_xlnm.Print_Area" localSheetId="0">'Korrektur'!$A$1:$L$867</definedName>
    <definedName name="_xlnm.Print_Area" localSheetId="7">'Lamm'!$A$1:$K$74</definedName>
    <definedName name="_xlnm.Print_Area" localSheetId="5">'Milch'!$A$1:$I$96</definedName>
    <definedName name="_xlnm.Print_Area" localSheetId="14">'MKK1'!$A$1:$G$27</definedName>
    <definedName name="_xlnm.Print_Area" localSheetId="15">'MKK2'!$A$1:$G$27</definedName>
    <definedName name="_xlnm.Print_Area" localSheetId="6">'MuKu'!$A$1:$K$58</definedName>
    <definedName name="_xlnm.Print_Area" localSheetId="3">'Plan'!$A$1:$J$61</definedName>
    <definedName name="_xlnm.Print_Area" localSheetId="12">'UV'!$A$1:$K$59</definedName>
    <definedName name="_xlnm.Print_Area" localSheetId="9">'WD.1Dgl'!$A$1:$J$60</definedName>
    <definedName name="_xlnm.Print_Titles" localSheetId="0">'Korrektur'!$1:$6</definedName>
    <definedName name="_xlnm.Print_Titles" localSheetId="5">'Milch'!$1:$1</definedName>
    <definedName name="E\Jahr" localSheetId="1">'[2]E-MKK1'!$G$23</definedName>
    <definedName name="E\Jahr" localSheetId="16">'[1]E - MKK1'!$G$23</definedName>
    <definedName name="E\Jahr">'[2]E-MKK1'!$G$23</definedName>
    <definedName name="Energiebilanz" localSheetId="1">'ErgInt'!$T$108:$T$110</definedName>
    <definedName name="Energiebilanz" localSheetId="16">#REF!</definedName>
    <definedName name="Energiebilanz">#REF!</definedName>
    <definedName name="Finanzierbarkeit" localSheetId="1">'ErgInt'!$T$70:$T$72</definedName>
    <definedName name="Finanzierbarkeit" localSheetId="16">#REF!</definedName>
    <definedName name="Finanzierbarkeit">#REF!</definedName>
    <definedName name="FolgerungenArbeitskräfte" localSheetId="1">'ErgInt'!$T$72:$T$75</definedName>
    <definedName name="FolgerungenArbeitskräfte">#REF!</definedName>
    <definedName name="FolgerungenEnergiebilanz" localSheetId="1">'ErgInt'!$T$84:$T$88</definedName>
    <definedName name="FolgerungenEnergiebilanz">#REF!</definedName>
    <definedName name="FolgerungenFinanzierbarkeit" localSheetId="1">'ErgInt'!$T$56:$T$59</definedName>
    <definedName name="FolgerungenFinanzierbarkeit">#REF!</definedName>
    <definedName name="FolgerungenKD_KDG" localSheetId="1">'ErgInt'!$V$18:$V$21</definedName>
    <definedName name="FolgerungenKD_KDG">#REF!</definedName>
    <definedName name="FolgerungenWirtschaftlichkeit" localSheetId="1">'ErgInt'!$T$42:$T$45</definedName>
    <definedName name="FolgerungenWirtschaftlichkeit">#REF!</definedName>
    <definedName name="FolgerungLHK_GEK" localSheetId="1">'ErgInt'!$T$18:$T$21</definedName>
    <definedName name="FolgerungLHK_GEK">#REF!</definedName>
    <definedName name="Matrix1" localSheetId="1">'[2]WD.ILeist'!$U$94:$AA$117</definedName>
    <definedName name="Matrix1" localSheetId="16">'[1]D - WD.ILeist'!$R$92:$X$115</definedName>
    <definedName name="Matrix1">'[2]WD.ILeist'!$U$94:$AA$117</definedName>
    <definedName name="Matrix2" localSheetId="1">'[2]WD.ILeist'!$U$127:$AA$150</definedName>
    <definedName name="Matrix2" localSheetId="16">'[1]D - WD.ILeist'!$R$125:$X$148</definedName>
    <definedName name="Matrix2">'[2]WD.ILeist'!$U$127:$AA$150</definedName>
    <definedName name="VglKD_KDG" localSheetId="1">'ErgInt'!$T$26:$T$28</definedName>
    <definedName name="VglKD_KDG" localSheetId="16">#REF!</definedName>
    <definedName name="VglKD_KDG">#REF!</definedName>
    <definedName name="VglLHK_GEK" localSheetId="1">'ErgInt'!$T$15:$T$17</definedName>
    <definedName name="VglLHK_GEK" localSheetId="16">#REF!</definedName>
    <definedName name="VglLHK_GEK">#REF!</definedName>
    <definedName name="Wirtschaftlichkeit" localSheetId="1">'ErgInt'!$T$50:$T$52</definedName>
    <definedName name="Wirtschaftlichkeit" localSheetId="16">#REF!</definedName>
    <definedName name="Wirtschaftlichkeit">#REF!</definedName>
  </definedNames>
  <calcPr fullCalcOnLoad="1"/>
</workbook>
</file>

<file path=xl/comments10.xml><?xml version="1.0" encoding="utf-8"?>
<comments xmlns="http://schemas.openxmlformats.org/spreadsheetml/2006/main">
  <authors>
    <author>Wolfgang Harasleben</author>
  </authors>
  <commentList>
    <comment ref="A1" authorId="0">
      <text>
        <r>
          <rPr>
            <b/>
            <sz val="8"/>
            <rFont val="Tahoma"/>
            <family val="2"/>
          </rPr>
          <t>Tipp:</t>
        </r>
        <r>
          <rPr>
            <sz val="8"/>
            <rFont val="Tahoma"/>
            <family val="2"/>
          </rPr>
          <t xml:space="preserve"> Wenn du die Summenformel benötigst, solltest du folgendermaßen vorgehen:
◙ gib einfach </t>
        </r>
        <r>
          <rPr>
            <b/>
            <sz val="8"/>
            <color indexed="10"/>
            <rFont val="Tahoma"/>
            <family val="2"/>
          </rPr>
          <t>=summe(</t>
        </r>
        <r>
          <rPr>
            <sz val="8"/>
            <rFont val="Tahoma"/>
            <family val="2"/>
          </rPr>
          <t xml:space="preserve"> ein
◙ markiere dann die gewünschten Zellen, z.B. </t>
        </r>
        <r>
          <rPr>
            <b/>
            <sz val="8"/>
            <color indexed="10"/>
            <rFont val="Tahoma"/>
            <family val="2"/>
          </rPr>
          <t>A1:A9</t>
        </r>
        <r>
          <rPr>
            <sz val="8"/>
            <rFont val="Tahoma"/>
            <family val="2"/>
          </rPr>
          <t xml:space="preserve">
◙ 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Enter ab.</t>
        </r>
      </text>
    </comment>
  </commentList>
</comments>
</file>

<file path=xl/comments11.xml><?xml version="1.0" encoding="utf-8"?>
<comments xmlns="http://schemas.openxmlformats.org/spreadsheetml/2006/main">
  <authors>
    <author>Wolfgang Harasleben</author>
  </authors>
  <commentList>
    <comment ref="A1" authorId="0">
      <text>
        <r>
          <rPr>
            <b/>
            <sz val="8"/>
            <rFont val="Tahoma"/>
            <family val="2"/>
          </rPr>
          <t>Tipp:</t>
        </r>
        <r>
          <rPr>
            <sz val="8"/>
            <rFont val="Tahoma"/>
            <family val="2"/>
          </rPr>
          <t xml:space="preserve"> Wenn du die Summenformel benötigst, solltest du folgendermaßen vorgehen:
◙ gib einfach </t>
        </r>
        <r>
          <rPr>
            <b/>
            <sz val="8"/>
            <color indexed="10"/>
            <rFont val="Tahoma"/>
            <family val="2"/>
          </rPr>
          <t>=summe(</t>
        </r>
        <r>
          <rPr>
            <sz val="8"/>
            <rFont val="Tahoma"/>
            <family val="2"/>
          </rPr>
          <t xml:space="preserve"> ein
◙ markiere dann die gewünschten Zellen, z.B. </t>
        </r>
        <r>
          <rPr>
            <b/>
            <sz val="8"/>
            <color indexed="10"/>
            <rFont val="Tahoma"/>
            <family val="2"/>
          </rPr>
          <t>A1:A9</t>
        </r>
        <r>
          <rPr>
            <sz val="8"/>
            <rFont val="Tahoma"/>
            <family val="2"/>
          </rPr>
          <t xml:space="preserve">
◙ 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Enter ab.</t>
        </r>
      </text>
    </comment>
  </commentList>
</comments>
</file>

<file path=xl/comments12.xml><?xml version="1.0" encoding="utf-8"?>
<comments xmlns="http://schemas.openxmlformats.org/spreadsheetml/2006/main">
  <authors>
    <author>Wolfgang Harasleben</author>
  </authors>
  <commentList>
    <comment ref="A1" authorId="0">
      <text>
        <r>
          <rPr>
            <b/>
            <sz val="8"/>
            <rFont val="Tahoma"/>
            <family val="2"/>
          </rPr>
          <t xml:space="preserve">Tipp: </t>
        </r>
        <r>
          <rPr>
            <sz val="8"/>
            <rFont val="Tahoma"/>
            <family val="2"/>
          </rPr>
          <t xml:space="preserve">Wenn du die Summenformel benötigst, solltest du folgendermaßen vorgehen:
</t>
        </r>
        <r>
          <rPr>
            <sz val="8"/>
            <rFont val="Wingdings"/>
            <family val="0"/>
          </rPr>
          <t xml:space="preserve"> </t>
        </r>
        <r>
          <rPr>
            <sz val="8"/>
            <rFont val="Tahoma"/>
            <family val="2"/>
          </rPr>
          <t xml:space="preserve">gib einfach </t>
        </r>
        <r>
          <rPr>
            <b/>
            <sz val="8"/>
            <color indexed="10"/>
            <rFont val="Tahoma"/>
            <family val="2"/>
          </rPr>
          <t>=summe(</t>
        </r>
        <r>
          <rPr>
            <sz val="8"/>
            <rFont val="Tahoma"/>
            <family val="2"/>
          </rPr>
          <t xml:space="preserve"> ein
</t>
        </r>
        <r>
          <rPr>
            <sz val="8"/>
            <rFont val="Wingdings"/>
            <family val="0"/>
          </rPr>
          <t xml:space="preserve"> </t>
        </r>
        <r>
          <rPr>
            <sz val="8"/>
            <rFont val="Tahoma"/>
            <family val="2"/>
          </rPr>
          <t xml:space="preserve">markiere dann die gewünschten Zellen, z.B. </t>
        </r>
        <r>
          <rPr>
            <b/>
            <sz val="8"/>
            <color indexed="10"/>
            <rFont val="Tahoma"/>
            <family val="2"/>
          </rPr>
          <t>A1:A9</t>
        </r>
        <r>
          <rPr>
            <sz val="8"/>
            <rFont val="Tahoma"/>
            <family val="2"/>
          </rPr>
          <t xml:space="preserve">
</t>
        </r>
        <r>
          <rPr>
            <sz val="8"/>
            <rFont val="Wingdings"/>
            <family val="0"/>
          </rPr>
          <t xml:space="preserve"> </t>
        </r>
        <r>
          <rPr>
            <sz val="8"/>
            <rFont val="Tahoma"/>
            <family val="2"/>
          </rPr>
          <t xml:space="preserve">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t>
        </r>
        <r>
          <rPr>
            <b/>
            <sz val="8"/>
            <color indexed="10"/>
            <rFont val="Tahoma"/>
            <family val="2"/>
          </rPr>
          <t>Enter</t>
        </r>
        <r>
          <rPr>
            <sz val="8"/>
            <rFont val="Tahoma"/>
            <family val="2"/>
          </rPr>
          <t xml:space="preserve"> ab.</t>
        </r>
      </text>
    </comment>
  </commentList>
</comments>
</file>

<file path=xl/comments13.xml><?xml version="1.0" encoding="utf-8"?>
<comments xmlns="http://schemas.openxmlformats.org/spreadsheetml/2006/main">
  <authors>
    <author>Wolfgang Harasleben</author>
  </authors>
  <commentList>
    <comment ref="A1" authorId="0">
      <text>
        <r>
          <rPr>
            <b/>
            <sz val="8"/>
            <rFont val="Tahoma"/>
            <family val="2"/>
          </rPr>
          <t xml:space="preserve">Tipp: </t>
        </r>
        <r>
          <rPr>
            <sz val="8"/>
            <rFont val="Tahoma"/>
            <family val="2"/>
          </rPr>
          <t xml:space="preserve">Wenn du die Summenformel benötigst, solltest du folgendermaßen vorgehen:
</t>
        </r>
        <r>
          <rPr>
            <sz val="8"/>
            <rFont val="Wingdings"/>
            <family val="0"/>
          </rPr>
          <t xml:space="preserve"> </t>
        </r>
        <r>
          <rPr>
            <sz val="8"/>
            <rFont val="Tahoma"/>
            <family val="2"/>
          </rPr>
          <t xml:space="preserve">gib einfach </t>
        </r>
        <r>
          <rPr>
            <b/>
            <sz val="8"/>
            <color indexed="10"/>
            <rFont val="Tahoma"/>
            <family val="2"/>
          </rPr>
          <t>=summe(</t>
        </r>
        <r>
          <rPr>
            <sz val="8"/>
            <rFont val="Tahoma"/>
            <family val="2"/>
          </rPr>
          <t xml:space="preserve"> ein
</t>
        </r>
        <r>
          <rPr>
            <sz val="8"/>
            <rFont val="Wingdings"/>
            <family val="0"/>
          </rPr>
          <t xml:space="preserve"> </t>
        </r>
        <r>
          <rPr>
            <sz val="8"/>
            <rFont val="Tahoma"/>
            <family val="2"/>
          </rPr>
          <t xml:space="preserve">markiere dann die gewünschten Zellen, z.B. </t>
        </r>
        <r>
          <rPr>
            <b/>
            <sz val="8"/>
            <color indexed="10"/>
            <rFont val="Tahoma"/>
            <family val="2"/>
          </rPr>
          <t>A1:A9</t>
        </r>
        <r>
          <rPr>
            <sz val="8"/>
            <rFont val="Tahoma"/>
            <family val="2"/>
          </rPr>
          <t xml:space="preserve">
</t>
        </r>
        <r>
          <rPr>
            <sz val="8"/>
            <rFont val="Wingdings"/>
            <family val="0"/>
          </rPr>
          <t xml:space="preserve"> </t>
        </r>
        <r>
          <rPr>
            <sz val="8"/>
            <rFont val="Tahoma"/>
            <family val="2"/>
          </rPr>
          <t xml:space="preserve">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t>
        </r>
        <r>
          <rPr>
            <b/>
            <sz val="8"/>
            <color indexed="10"/>
            <rFont val="Tahoma"/>
            <family val="2"/>
          </rPr>
          <t>Enter</t>
        </r>
        <r>
          <rPr>
            <sz val="8"/>
            <rFont val="Tahoma"/>
            <family val="2"/>
          </rPr>
          <t xml:space="preserve"> ab.</t>
        </r>
      </text>
    </comment>
  </commentList>
</comments>
</file>

<file path=xl/comments14.xml><?xml version="1.0" encoding="utf-8"?>
<comments xmlns="http://schemas.openxmlformats.org/spreadsheetml/2006/main">
  <authors>
    <author>Wolfgang Harasleben</author>
  </authors>
  <commentList>
    <comment ref="A1" authorId="0">
      <text>
        <r>
          <rPr>
            <b/>
            <sz val="8"/>
            <rFont val="Tahoma"/>
            <family val="2"/>
          </rPr>
          <t xml:space="preserve">Tipp: </t>
        </r>
        <r>
          <rPr>
            <sz val="8"/>
            <rFont val="Tahoma"/>
            <family val="2"/>
          </rPr>
          <t xml:space="preserve">Wenn du die Summenformel benötigst, solltest du folgendermaßen vorgehen:
</t>
        </r>
        <r>
          <rPr>
            <sz val="8"/>
            <rFont val="Wingdings"/>
            <family val="0"/>
          </rPr>
          <t xml:space="preserve"> </t>
        </r>
        <r>
          <rPr>
            <sz val="8"/>
            <rFont val="Tahoma"/>
            <family val="2"/>
          </rPr>
          <t xml:space="preserve">gib einfach </t>
        </r>
        <r>
          <rPr>
            <b/>
            <sz val="8"/>
            <color indexed="10"/>
            <rFont val="Tahoma"/>
            <family val="2"/>
          </rPr>
          <t>=summe(</t>
        </r>
        <r>
          <rPr>
            <sz val="8"/>
            <rFont val="Tahoma"/>
            <family val="2"/>
          </rPr>
          <t xml:space="preserve"> ein
</t>
        </r>
        <r>
          <rPr>
            <sz val="8"/>
            <rFont val="Wingdings"/>
            <family val="0"/>
          </rPr>
          <t xml:space="preserve"> </t>
        </r>
        <r>
          <rPr>
            <sz val="8"/>
            <rFont val="Tahoma"/>
            <family val="2"/>
          </rPr>
          <t xml:space="preserve">markiere dann die gewünschten Zellen, z.B. </t>
        </r>
        <r>
          <rPr>
            <b/>
            <sz val="8"/>
            <color indexed="10"/>
            <rFont val="Tahoma"/>
            <family val="2"/>
          </rPr>
          <t>A1:A9</t>
        </r>
        <r>
          <rPr>
            <sz val="8"/>
            <rFont val="Tahoma"/>
            <family val="2"/>
          </rPr>
          <t xml:space="preserve">
</t>
        </r>
        <r>
          <rPr>
            <sz val="8"/>
            <rFont val="Wingdings"/>
            <family val="0"/>
          </rPr>
          <t xml:space="preserve"> </t>
        </r>
        <r>
          <rPr>
            <sz val="8"/>
            <rFont val="Tahoma"/>
            <family val="2"/>
          </rPr>
          <t xml:space="preserve">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t>
        </r>
        <r>
          <rPr>
            <b/>
            <sz val="8"/>
            <color indexed="10"/>
            <rFont val="Tahoma"/>
            <family val="2"/>
          </rPr>
          <t>Enter</t>
        </r>
        <r>
          <rPr>
            <sz val="8"/>
            <rFont val="Tahoma"/>
            <family val="2"/>
          </rPr>
          <t xml:space="preserve"> ab.</t>
        </r>
      </text>
    </comment>
  </commentList>
</comments>
</file>

<file path=xl/comments15.xml><?xml version="1.0" encoding="utf-8"?>
<comments xmlns="http://schemas.openxmlformats.org/spreadsheetml/2006/main">
  <authors>
    <author>Wolfgang Harasleben</author>
  </authors>
  <commentList>
    <comment ref="A1" authorId="0">
      <text>
        <r>
          <rPr>
            <b/>
            <sz val="8"/>
            <rFont val="Tahoma"/>
            <family val="2"/>
          </rPr>
          <t>Tipp:</t>
        </r>
        <r>
          <rPr>
            <sz val="8"/>
            <rFont val="Tahoma"/>
            <family val="2"/>
          </rPr>
          <t xml:space="preserve"> Wenn du die Summenformel benötigst, solltest du folgendermaßen vorgehen:
◙ </t>
        </r>
        <r>
          <rPr>
            <sz val="8"/>
            <rFont val="Arial"/>
            <family val="2"/>
          </rPr>
          <t>gib</t>
        </r>
        <r>
          <rPr>
            <sz val="8"/>
            <rFont val="Tahoma"/>
            <family val="2"/>
          </rPr>
          <t xml:space="preserve"> einfach </t>
        </r>
        <r>
          <rPr>
            <b/>
            <sz val="8"/>
            <color indexed="10"/>
            <rFont val="Tahoma"/>
            <family val="2"/>
          </rPr>
          <t>=summe(</t>
        </r>
        <r>
          <rPr>
            <sz val="8"/>
            <rFont val="Tahoma"/>
            <family val="2"/>
          </rPr>
          <t xml:space="preserve"> ein
◙ markiere dann die gewünschten Zellen, z.B. </t>
        </r>
        <r>
          <rPr>
            <b/>
            <sz val="8"/>
            <color indexed="10"/>
            <rFont val="Tahoma"/>
            <family val="2"/>
          </rPr>
          <t>A1:A9</t>
        </r>
        <r>
          <rPr>
            <sz val="8"/>
            <rFont val="Tahoma"/>
            <family val="2"/>
          </rPr>
          <t xml:space="preserve">
◙ und gib zuletzt noch </t>
        </r>
        <r>
          <rPr>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t>
        </r>
        <r>
          <rPr>
            <b/>
            <sz val="8"/>
            <color indexed="10"/>
            <rFont val="Tahoma"/>
            <family val="2"/>
          </rPr>
          <t>Enter</t>
        </r>
        <r>
          <rPr>
            <sz val="8"/>
            <rFont val="Tahoma"/>
            <family val="2"/>
          </rPr>
          <t xml:space="preserve"> ab.</t>
        </r>
      </text>
    </comment>
    <comment ref="D13" authorId="0">
      <text>
        <r>
          <rPr>
            <sz val="7"/>
            <rFont val="Wingdings"/>
            <family val="0"/>
          </rPr>
          <t>l</t>
        </r>
        <r>
          <rPr>
            <sz val="7"/>
            <rFont val="Tahoma"/>
            <family val="2"/>
          </rPr>
          <t xml:space="preserve"> </t>
        </r>
        <r>
          <rPr>
            <b/>
            <sz val="7"/>
            <rFont val="Tahoma"/>
            <family val="2"/>
          </rPr>
          <t>Formel</t>
        </r>
        <r>
          <rPr>
            <sz val="7"/>
            <rFont val="Tahoma"/>
            <family val="2"/>
          </rPr>
          <t xml:space="preserve"> eingeben oder
</t>
        </r>
        <r>
          <rPr>
            <sz val="7"/>
            <rFont val="Wingdings"/>
            <family val="0"/>
          </rPr>
          <t>l</t>
        </r>
        <r>
          <rPr>
            <sz val="7"/>
            <rFont val="Tahoma"/>
            <family val="2"/>
          </rPr>
          <t xml:space="preserve"> </t>
        </r>
        <r>
          <rPr>
            <b/>
            <sz val="7"/>
            <rFont val="Tahoma"/>
            <family val="2"/>
          </rPr>
          <t>betrieblichen Wert</t>
        </r>
        <r>
          <rPr>
            <sz val="7"/>
            <rFont val="Tahoma"/>
            <family val="2"/>
          </rPr>
          <t xml:space="preserve"> überrnehmen!
</t>
        </r>
        <r>
          <rPr>
            <sz val="8"/>
            <rFont val="Tahoma"/>
            <family val="2"/>
          </rPr>
          <t xml:space="preserve">
</t>
        </r>
        <r>
          <rPr>
            <b/>
            <sz val="8"/>
            <color indexed="10"/>
            <rFont val="Tahoma"/>
            <family val="2"/>
          </rPr>
          <t>ACHTUNG:</t>
        </r>
        <r>
          <rPr>
            <sz val="8"/>
            <rFont val="Tahoma"/>
            <family val="2"/>
          </rPr>
          <t xml:space="preserve">
</t>
        </r>
        <r>
          <rPr>
            <b/>
            <sz val="8"/>
            <rFont val="Tahoma"/>
            <family val="2"/>
          </rPr>
          <t>Betriebliche Werte</t>
        </r>
        <r>
          <rPr>
            <sz val="8"/>
            <rFont val="Tahoma"/>
            <family val="2"/>
          </rPr>
          <t xml:space="preserve"> haben </t>
        </r>
        <r>
          <rPr>
            <b/>
            <sz val="8"/>
            <color indexed="10"/>
            <rFont val="Tahoma"/>
            <family val="2"/>
          </rPr>
          <t>Vorrang!</t>
        </r>
      </text>
    </comment>
    <comment ref="D14" authorId="0">
      <text>
        <r>
          <rPr>
            <sz val="7"/>
            <rFont val="Wingdings"/>
            <family val="0"/>
          </rPr>
          <t>l</t>
        </r>
        <r>
          <rPr>
            <sz val="7"/>
            <rFont val="Tahoma"/>
            <family val="2"/>
          </rPr>
          <t xml:space="preserve"> </t>
        </r>
        <r>
          <rPr>
            <b/>
            <sz val="7"/>
            <rFont val="Tahoma"/>
            <family val="2"/>
          </rPr>
          <t>Formel</t>
        </r>
        <r>
          <rPr>
            <sz val="7"/>
            <rFont val="Tahoma"/>
            <family val="2"/>
          </rPr>
          <t xml:space="preserve"> eingeben oder
</t>
        </r>
        <r>
          <rPr>
            <sz val="7"/>
            <rFont val="Wingdings"/>
            <family val="0"/>
          </rPr>
          <t>l</t>
        </r>
        <r>
          <rPr>
            <sz val="7"/>
            <rFont val="Tahoma"/>
            <family val="2"/>
          </rPr>
          <t xml:space="preserve"> </t>
        </r>
        <r>
          <rPr>
            <b/>
            <sz val="7"/>
            <rFont val="Tahoma"/>
            <family val="2"/>
          </rPr>
          <t>betrieblichen Wert</t>
        </r>
        <r>
          <rPr>
            <sz val="7"/>
            <rFont val="Tahoma"/>
            <family val="2"/>
          </rPr>
          <t xml:space="preserve"> überrnehmen!
</t>
        </r>
        <r>
          <rPr>
            <sz val="8"/>
            <rFont val="Tahoma"/>
            <family val="2"/>
          </rPr>
          <t xml:space="preserve">
</t>
        </r>
        <r>
          <rPr>
            <b/>
            <sz val="8"/>
            <color indexed="10"/>
            <rFont val="Tahoma"/>
            <family val="2"/>
          </rPr>
          <t>ACHTUNG:</t>
        </r>
        <r>
          <rPr>
            <sz val="8"/>
            <rFont val="Tahoma"/>
            <family val="2"/>
          </rPr>
          <t xml:space="preserve">
</t>
        </r>
        <r>
          <rPr>
            <b/>
            <sz val="8"/>
            <rFont val="Tahoma"/>
            <family val="2"/>
          </rPr>
          <t>Betriebliche Werte</t>
        </r>
        <r>
          <rPr>
            <sz val="8"/>
            <rFont val="Tahoma"/>
            <family val="2"/>
          </rPr>
          <t xml:space="preserve"> haben </t>
        </r>
        <r>
          <rPr>
            <b/>
            <sz val="8"/>
            <color indexed="10"/>
            <rFont val="Tahoma"/>
            <family val="2"/>
          </rPr>
          <t>Vorrang!</t>
        </r>
      </text>
    </comment>
  </commentList>
</comments>
</file>

<file path=xl/comments16.xml><?xml version="1.0" encoding="utf-8"?>
<comments xmlns="http://schemas.openxmlformats.org/spreadsheetml/2006/main">
  <authors>
    <author>Wolfgang Harasleben</author>
  </authors>
  <commentList>
    <comment ref="D13" authorId="0">
      <text>
        <r>
          <rPr>
            <sz val="7"/>
            <rFont val="Wingdings"/>
            <family val="0"/>
          </rPr>
          <t>l</t>
        </r>
        <r>
          <rPr>
            <sz val="7"/>
            <rFont val="Tahoma"/>
            <family val="2"/>
          </rPr>
          <t xml:space="preserve"> </t>
        </r>
        <r>
          <rPr>
            <b/>
            <sz val="7"/>
            <rFont val="Tahoma"/>
            <family val="2"/>
          </rPr>
          <t>Formel</t>
        </r>
        <r>
          <rPr>
            <sz val="7"/>
            <rFont val="Tahoma"/>
            <family val="2"/>
          </rPr>
          <t xml:space="preserve"> eingeben oder
</t>
        </r>
        <r>
          <rPr>
            <sz val="7"/>
            <rFont val="Wingdings"/>
            <family val="0"/>
          </rPr>
          <t>l</t>
        </r>
        <r>
          <rPr>
            <sz val="7"/>
            <rFont val="Tahoma"/>
            <family val="2"/>
          </rPr>
          <t xml:space="preserve"> </t>
        </r>
        <r>
          <rPr>
            <b/>
            <sz val="7"/>
            <rFont val="Tahoma"/>
            <family val="2"/>
          </rPr>
          <t>betrieblichen Wert</t>
        </r>
        <r>
          <rPr>
            <sz val="7"/>
            <rFont val="Tahoma"/>
            <family val="2"/>
          </rPr>
          <t xml:space="preserve"> überrnehmen!
</t>
        </r>
        <r>
          <rPr>
            <sz val="8"/>
            <rFont val="Tahoma"/>
            <family val="2"/>
          </rPr>
          <t xml:space="preserve">
</t>
        </r>
        <r>
          <rPr>
            <b/>
            <sz val="8"/>
            <color indexed="10"/>
            <rFont val="Tahoma"/>
            <family val="2"/>
          </rPr>
          <t>ACHTUNG:</t>
        </r>
        <r>
          <rPr>
            <sz val="8"/>
            <rFont val="Tahoma"/>
            <family val="2"/>
          </rPr>
          <t xml:space="preserve">
</t>
        </r>
        <r>
          <rPr>
            <b/>
            <sz val="8"/>
            <rFont val="Tahoma"/>
            <family val="2"/>
          </rPr>
          <t>Betriebliche Werte</t>
        </r>
        <r>
          <rPr>
            <sz val="8"/>
            <rFont val="Tahoma"/>
            <family val="2"/>
          </rPr>
          <t xml:space="preserve"> haben </t>
        </r>
        <r>
          <rPr>
            <b/>
            <sz val="8"/>
            <color indexed="10"/>
            <rFont val="Tahoma"/>
            <family val="2"/>
          </rPr>
          <t>Vorrang!</t>
        </r>
      </text>
    </comment>
    <comment ref="D14" authorId="0">
      <text>
        <r>
          <rPr>
            <sz val="7"/>
            <rFont val="Wingdings"/>
            <family val="0"/>
          </rPr>
          <t>l</t>
        </r>
        <r>
          <rPr>
            <sz val="7"/>
            <rFont val="Tahoma"/>
            <family val="2"/>
          </rPr>
          <t xml:space="preserve"> </t>
        </r>
        <r>
          <rPr>
            <b/>
            <sz val="7"/>
            <rFont val="Tahoma"/>
            <family val="2"/>
          </rPr>
          <t>Formel</t>
        </r>
        <r>
          <rPr>
            <sz val="7"/>
            <rFont val="Tahoma"/>
            <family val="2"/>
          </rPr>
          <t xml:space="preserve"> eingeben oder
</t>
        </r>
        <r>
          <rPr>
            <sz val="7"/>
            <rFont val="Wingdings"/>
            <family val="0"/>
          </rPr>
          <t>l</t>
        </r>
        <r>
          <rPr>
            <sz val="7"/>
            <rFont val="Tahoma"/>
            <family val="2"/>
          </rPr>
          <t xml:space="preserve"> </t>
        </r>
        <r>
          <rPr>
            <b/>
            <sz val="7"/>
            <rFont val="Tahoma"/>
            <family val="2"/>
          </rPr>
          <t>betrieblichen Wert</t>
        </r>
        <r>
          <rPr>
            <sz val="7"/>
            <rFont val="Tahoma"/>
            <family val="2"/>
          </rPr>
          <t xml:space="preserve"> überrnehmen!
</t>
        </r>
        <r>
          <rPr>
            <sz val="8"/>
            <rFont val="Tahoma"/>
            <family val="2"/>
          </rPr>
          <t xml:space="preserve">
</t>
        </r>
        <r>
          <rPr>
            <b/>
            <sz val="8"/>
            <color indexed="10"/>
            <rFont val="Tahoma"/>
            <family val="2"/>
          </rPr>
          <t>ACHTUNG:</t>
        </r>
        <r>
          <rPr>
            <sz val="8"/>
            <rFont val="Tahoma"/>
            <family val="2"/>
          </rPr>
          <t xml:space="preserve">
</t>
        </r>
        <r>
          <rPr>
            <b/>
            <sz val="8"/>
            <rFont val="Tahoma"/>
            <family val="2"/>
          </rPr>
          <t>Betriebliche Werte</t>
        </r>
        <r>
          <rPr>
            <sz val="8"/>
            <rFont val="Tahoma"/>
            <family val="2"/>
          </rPr>
          <t xml:space="preserve"> haben </t>
        </r>
        <r>
          <rPr>
            <b/>
            <sz val="8"/>
            <color indexed="10"/>
            <rFont val="Tahoma"/>
            <family val="2"/>
          </rPr>
          <t>Vorrang!</t>
        </r>
      </text>
    </comment>
    <comment ref="A1" authorId="0">
      <text>
        <r>
          <rPr>
            <b/>
            <sz val="8"/>
            <rFont val="Tahoma"/>
            <family val="2"/>
          </rPr>
          <t>Tipp:</t>
        </r>
        <r>
          <rPr>
            <sz val="8"/>
            <rFont val="Tahoma"/>
            <family val="2"/>
          </rPr>
          <t xml:space="preserve"> Wenn du die Summenformel benötigst, solltest du folgendermaßen vorgehen:
◙ </t>
        </r>
        <r>
          <rPr>
            <sz val="8"/>
            <rFont val="Arial"/>
            <family val="2"/>
          </rPr>
          <t>gib</t>
        </r>
        <r>
          <rPr>
            <sz val="8"/>
            <rFont val="Tahoma"/>
            <family val="2"/>
          </rPr>
          <t xml:space="preserve"> einfach </t>
        </r>
        <r>
          <rPr>
            <b/>
            <sz val="8"/>
            <color indexed="10"/>
            <rFont val="Tahoma"/>
            <family val="2"/>
          </rPr>
          <t>=summe(</t>
        </r>
        <r>
          <rPr>
            <sz val="8"/>
            <rFont val="Tahoma"/>
            <family val="2"/>
          </rPr>
          <t xml:space="preserve"> ein
◙ markiere dann die gewünschten Zellen, z.B. </t>
        </r>
        <r>
          <rPr>
            <b/>
            <sz val="8"/>
            <color indexed="10"/>
            <rFont val="Tahoma"/>
            <family val="2"/>
          </rPr>
          <t>A1:A9</t>
        </r>
        <r>
          <rPr>
            <sz val="8"/>
            <rFont val="Tahoma"/>
            <family val="2"/>
          </rPr>
          <t xml:space="preserve">
◙ und gib zuletzt noch </t>
        </r>
        <r>
          <rPr>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t>
        </r>
        <r>
          <rPr>
            <b/>
            <sz val="8"/>
            <color indexed="10"/>
            <rFont val="Tahoma"/>
            <family val="2"/>
          </rPr>
          <t>Enter</t>
        </r>
        <r>
          <rPr>
            <sz val="8"/>
            <rFont val="Tahoma"/>
            <family val="2"/>
          </rPr>
          <t xml:space="preserve"> ab.</t>
        </r>
      </text>
    </comment>
  </commentList>
</comments>
</file>

<file path=xl/comments3.xml><?xml version="1.0" encoding="utf-8"?>
<comments xmlns="http://schemas.openxmlformats.org/spreadsheetml/2006/main">
  <authors>
    <author>Wolfgang Harasleben</author>
  </authors>
  <commentList>
    <comment ref="A1" authorId="0">
      <text>
        <r>
          <rPr>
            <b/>
            <sz val="8"/>
            <rFont val="Tahoma"/>
            <family val="2"/>
          </rPr>
          <t xml:space="preserve">Tipp: </t>
        </r>
        <r>
          <rPr>
            <sz val="8"/>
            <rFont val="Tahoma"/>
            <family val="2"/>
          </rPr>
          <t xml:space="preserve">Wenn du die Summenformel benötigst, solltest du folgendermaßen vorgehen:
</t>
        </r>
        <r>
          <rPr>
            <sz val="8"/>
            <rFont val="Wingdings"/>
            <family val="0"/>
          </rPr>
          <t xml:space="preserve"> </t>
        </r>
        <r>
          <rPr>
            <sz val="8"/>
            <rFont val="Tahoma"/>
            <family val="2"/>
          </rPr>
          <t xml:space="preserve">gib einfach </t>
        </r>
        <r>
          <rPr>
            <b/>
            <sz val="8"/>
            <color indexed="10"/>
            <rFont val="Tahoma"/>
            <family val="2"/>
          </rPr>
          <t>=summe(</t>
        </r>
        <r>
          <rPr>
            <sz val="8"/>
            <rFont val="Tahoma"/>
            <family val="2"/>
          </rPr>
          <t xml:space="preserve"> ein
</t>
        </r>
        <r>
          <rPr>
            <sz val="8"/>
            <rFont val="Wingdings"/>
            <family val="0"/>
          </rPr>
          <t xml:space="preserve"> </t>
        </r>
        <r>
          <rPr>
            <sz val="8"/>
            <rFont val="Tahoma"/>
            <family val="2"/>
          </rPr>
          <t xml:space="preserve">markiere dann die gewünschten Zellen, z.B. </t>
        </r>
        <r>
          <rPr>
            <b/>
            <sz val="8"/>
            <color indexed="10"/>
            <rFont val="Tahoma"/>
            <family val="2"/>
          </rPr>
          <t>A1:A9</t>
        </r>
        <r>
          <rPr>
            <sz val="8"/>
            <rFont val="Tahoma"/>
            <family val="2"/>
          </rPr>
          <t xml:space="preserve">
</t>
        </r>
        <r>
          <rPr>
            <sz val="8"/>
            <rFont val="Wingdings"/>
            <family val="0"/>
          </rPr>
          <t xml:space="preserve"> </t>
        </r>
        <r>
          <rPr>
            <sz val="8"/>
            <rFont val="Tahoma"/>
            <family val="2"/>
          </rPr>
          <t xml:space="preserve">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t>
        </r>
        <r>
          <rPr>
            <b/>
            <sz val="8"/>
            <color indexed="10"/>
            <rFont val="Tahoma"/>
            <family val="2"/>
          </rPr>
          <t>Enter</t>
        </r>
        <r>
          <rPr>
            <sz val="8"/>
            <rFont val="Tahoma"/>
            <family val="2"/>
          </rPr>
          <t xml:space="preserve"> ab.</t>
        </r>
      </text>
    </comment>
  </commentList>
</comments>
</file>

<file path=xl/comments4.xml><?xml version="1.0" encoding="utf-8"?>
<comments xmlns="http://schemas.openxmlformats.org/spreadsheetml/2006/main">
  <authors>
    <author>Wolfgang Harasleben</author>
  </authors>
  <commentList>
    <comment ref="A1" authorId="0">
      <text>
        <r>
          <rPr>
            <b/>
            <sz val="8"/>
            <rFont val="Tahoma"/>
            <family val="2"/>
          </rPr>
          <t xml:space="preserve">Tipp: </t>
        </r>
        <r>
          <rPr>
            <sz val="8"/>
            <rFont val="Tahoma"/>
            <family val="2"/>
          </rPr>
          <t xml:space="preserve">Wenn du die Summenformel benötigst, solltest du folgendermaßen vorgehen:
</t>
        </r>
        <r>
          <rPr>
            <sz val="8"/>
            <rFont val="Wingdings"/>
            <family val="0"/>
          </rPr>
          <t xml:space="preserve"> </t>
        </r>
        <r>
          <rPr>
            <sz val="8"/>
            <rFont val="Tahoma"/>
            <family val="2"/>
          </rPr>
          <t xml:space="preserve">gib einfach </t>
        </r>
        <r>
          <rPr>
            <b/>
            <sz val="8"/>
            <color indexed="10"/>
            <rFont val="Tahoma"/>
            <family val="2"/>
          </rPr>
          <t>=summe(</t>
        </r>
        <r>
          <rPr>
            <sz val="8"/>
            <rFont val="Tahoma"/>
            <family val="2"/>
          </rPr>
          <t xml:space="preserve"> ein
</t>
        </r>
        <r>
          <rPr>
            <sz val="8"/>
            <rFont val="Wingdings"/>
            <family val="0"/>
          </rPr>
          <t xml:space="preserve"> </t>
        </r>
        <r>
          <rPr>
            <sz val="8"/>
            <rFont val="Tahoma"/>
            <family val="2"/>
          </rPr>
          <t xml:space="preserve">markiere dann die gewünschten Zellen, z.B. </t>
        </r>
        <r>
          <rPr>
            <b/>
            <sz val="8"/>
            <color indexed="10"/>
            <rFont val="Tahoma"/>
            <family val="2"/>
          </rPr>
          <t>A1:A9</t>
        </r>
        <r>
          <rPr>
            <sz val="8"/>
            <rFont val="Tahoma"/>
            <family val="2"/>
          </rPr>
          <t xml:space="preserve">
</t>
        </r>
        <r>
          <rPr>
            <sz val="8"/>
            <rFont val="Wingdings"/>
            <family val="0"/>
          </rPr>
          <t xml:space="preserve"> </t>
        </r>
        <r>
          <rPr>
            <sz val="8"/>
            <rFont val="Tahoma"/>
            <family val="2"/>
          </rPr>
          <t xml:space="preserve">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t>
        </r>
        <r>
          <rPr>
            <b/>
            <sz val="8"/>
            <color indexed="10"/>
            <rFont val="Tahoma"/>
            <family val="2"/>
          </rPr>
          <t>Enter</t>
        </r>
        <r>
          <rPr>
            <sz val="8"/>
            <rFont val="Tahoma"/>
            <family val="2"/>
          </rPr>
          <t xml:space="preserve"> ab.</t>
        </r>
      </text>
    </comment>
  </commentList>
</comments>
</file>

<file path=xl/comments5.xml><?xml version="1.0" encoding="utf-8"?>
<comments xmlns="http://schemas.openxmlformats.org/spreadsheetml/2006/main">
  <authors>
    <author>Wolfgang Harasleben</author>
  </authors>
  <commentList>
    <comment ref="A1" authorId="0">
      <text>
        <r>
          <rPr>
            <b/>
            <sz val="8"/>
            <rFont val="Tahoma"/>
            <family val="2"/>
          </rPr>
          <t xml:space="preserve">Tipp: </t>
        </r>
        <r>
          <rPr>
            <sz val="8"/>
            <rFont val="Tahoma"/>
            <family val="2"/>
          </rPr>
          <t xml:space="preserve">Wenn du die Summenformel benötigst, solltest du folgendermaßen vorgehen:
</t>
        </r>
        <r>
          <rPr>
            <sz val="8"/>
            <rFont val="Wingdings"/>
            <family val="0"/>
          </rPr>
          <t xml:space="preserve"> </t>
        </r>
        <r>
          <rPr>
            <sz val="8"/>
            <rFont val="Tahoma"/>
            <family val="2"/>
          </rPr>
          <t xml:space="preserve">gib einfach </t>
        </r>
        <r>
          <rPr>
            <b/>
            <sz val="8"/>
            <color indexed="10"/>
            <rFont val="Tahoma"/>
            <family val="2"/>
          </rPr>
          <t>=summe(</t>
        </r>
        <r>
          <rPr>
            <sz val="8"/>
            <rFont val="Tahoma"/>
            <family val="2"/>
          </rPr>
          <t xml:space="preserve"> ein
</t>
        </r>
        <r>
          <rPr>
            <sz val="8"/>
            <rFont val="Wingdings"/>
            <family val="0"/>
          </rPr>
          <t xml:space="preserve"> </t>
        </r>
        <r>
          <rPr>
            <sz val="8"/>
            <rFont val="Tahoma"/>
            <family val="2"/>
          </rPr>
          <t xml:space="preserve">markiere dann die gewünschten Zellen, z.B. </t>
        </r>
        <r>
          <rPr>
            <b/>
            <sz val="8"/>
            <color indexed="10"/>
            <rFont val="Tahoma"/>
            <family val="2"/>
          </rPr>
          <t>A1:A9</t>
        </r>
        <r>
          <rPr>
            <sz val="8"/>
            <rFont val="Tahoma"/>
            <family val="2"/>
          </rPr>
          <t xml:space="preserve">
</t>
        </r>
        <r>
          <rPr>
            <sz val="8"/>
            <rFont val="Wingdings"/>
            <family val="0"/>
          </rPr>
          <t xml:space="preserve"> </t>
        </r>
        <r>
          <rPr>
            <sz val="8"/>
            <rFont val="Tahoma"/>
            <family val="2"/>
          </rPr>
          <t xml:space="preserve">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t>
        </r>
        <r>
          <rPr>
            <b/>
            <sz val="8"/>
            <color indexed="10"/>
            <rFont val="Tahoma"/>
            <family val="2"/>
          </rPr>
          <t>Enter</t>
        </r>
        <r>
          <rPr>
            <sz val="8"/>
            <rFont val="Tahoma"/>
            <family val="2"/>
          </rPr>
          <t xml:space="preserve"> ab.</t>
        </r>
      </text>
    </comment>
  </commentList>
</comments>
</file>

<file path=xl/comments6.xml><?xml version="1.0" encoding="utf-8"?>
<comments xmlns="http://schemas.openxmlformats.org/spreadsheetml/2006/main">
  <authors>
    <author>Wolfgang Harasleben</author>
  </authors>
  <commentList>
    <comment ref="A1" authorId="0">
      <text>
        <r>
          <rPr>
            <b/>
            <sz val="8"/>
            <rFont val="Tahoma"/>
            <family val="2"/>
          </rPr>
          <t>Tipp:</t>
        </r>
        <r>
          <rPr>
            <sz val="8"/>
            <rFont val="Tahoma"/>
            <family val="2"/>
          </rPr>
          <t xml:space="preserve"> Wenn du die Summenformel benötigst, solltest du folgendermaßen vorgehen:
◙ gib einfach </t>
        </r>
        <r>
          <rPr>
            <b/>
            <sz val="8"/>
            <color indexed="10"/>
            <rFont val="Tahoma"/>
            <family val="2"/>
          </rPr>
          <t>=summe(</t>
        </r>
        <r>
          <rPr>
            <sz val="8"/>
            <rFont val="Tahoma"/>
            <family val="2"/>
          </rPr>
          <t xml:space="preserve"> ein
◙ markiere dann die gewünschten Zellen, z.B. </t>
        </r>
        <r>
          <rPr>
            <b/>
            <sz val="8"/>
            <color indexed="10"/>
            <rFont val="Tahoma"/>
            <family val="2"/>
          </rPr>
          <t>A1:A9</t>
        </r>
        <r>
          <rPr>
            <sz val="8"/>
            <rFont val="Tahoma"/>
            <family val="2"/>
          </rPr>
          <t xml:space="preserve">
◙ 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Enter ab.</t>
        </r>
      </text>
    </comment>
  </commentList>
</comments>
</file>

<file path=xl/comments7.xml><?xml version="1.0" encoding="utf-8"?>
<comments xmlns="http://schemas.openxmlformats.org/spreadsheetml/2006/main">
  <authors>
    <author>Wolfgang Harasleben</author>
  </authors>
  <commentList>
    <comment ref="A1" authorId="0">
      <text>
        <r>
          <rPr>
            <b/>
            <sz val="8"/>
            <rFont val="Tahoma"/>
            <family val="2"/>
          </rPr>
          <t>Tipp:</t>
        </r>
        <r>
          <rPr>
            <sz val="8"/>
            <rFont val="Tahoma"/>
            <family val="2"/>
          </rPr>
          <t xml:space="preserve"> Wenn du die Summenformel benötigst, solltest du folgendermaßen vorgehen:
◙ gib einfach </t>
        </r>
        <r>
          <rPr>
            <b/>
            <sz val="8"/>
            <color indexed="10"/>
            <rFont val="Tahoma"/>
            <family val="2"/>
          </rPr>
          <t>=summe(</t>
        </r>
        <r>
          <rPr>
            <sz val="8"/>
            <rFont val="Tahoma"/>
            <family val="2"/>
          </rPr>
          <t xml:space="preserve"> ein
◙ markiere dann die gewünschten Zellen, z.B. </t>
        </r>
        <r>
          <rPr>
            <b/>
            <sz val="8"/>
            <color indexed="10"/>
            <rFont val="Tahoma"/>
            <family val="2"/>
          </rPr>
          <t>A1:A9</t>
        </r>
        <r>
          <rPr>
            <sz val="8"/>
            <rFont val="Tahoma"/>
            <family val="2"/>
          </rPr>
          <t xml:space="preserve">
◙ 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Enter ab.</t>
        </r>
      </text>
    </comment>
  </commentList>
</comments>
</file>

<file path=xl/comments8.xml><?xml version="1.0" encoding="utf-8"?>
<comments xmlns="http://schemas.openxmlformats.org/spreadsheetml/2006/main">
  <authors>
    <author>Wolfgang Harasleben</author>
  </authors>
  <commentList>
    <comment ref="A1" authorId="0">
      <text>
        <r>
          <rPr>
            <b/>
            <sz val="8"/>
            <rFont val="Tahoma"/>
            <family val="2"/>
          </rPr>
          <t>Tipp:</t>
        </r>
        <r>
          <rPr>
            <sz val="8"/>
            <rFont val="Tahoma"/>
            <family val="2"/>
          </rPr>
          <t xml:space="preserve"> Wenn du die Summenformel benötigst, solltest du folgendermaßen vorgehen:
◙ gib einfach </t>
        </r>
        <r>
          <rPr>
            <b/>
            <sz val="8"/>
            <color indexed="10"/>
            <rFont val="Tahoma"/>
            <family val="2"/>
          </rPr>
          <t>=summe(</t>
        </r>
        <r>
          <rPr>
            <sz val="8"/>
            <rFont val="Tahoma"/>
            <family val="2"/>
          </rPr>
          <t xml:space="preserve"> ein
◙ markiere dann die gewünschten Zellen, z.B. </t>
        </r>
        <r>
          <rPr>
            <b/>
            <sz val="8"/>
            <color indexed="10"/>
            <rFont val="Tahoma"/>
            <family val="2"/>
          </rPr>
          <t>A1:A9</t>
        </r>
        <r>
          <rPr>
            <sz val="8"/>
            <rFont val="Tahoma"/>
            <family val="2"/>
          </rPr>
          <t xml:space="preserve">
◙ 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Enter ab.</t>
        </r>
      </text>
    </comment>
  </commentList>
</comments>
</file>

<file path=xl/comments9.xml><?xml version="1.0" encoding="utf-8"?>
<comments xmlns="http://schemas.openxmlformats.org/spreadsheetml/2006/main">
  <authors>
    <author>Wolfgang Harasleben</author>
  </authors>
  <commentList>
    <comment ref="A1" authorId="0">
      <text>
        <r>
          <rPr>
            <b/>
            <sz val="8"/>
            <rFont val="Tahoma"/>
            <family val="2"/>
          </rPr>
          <t>Tipp:</t>
        </r>
        <r>
          <rPr>
            <sz val="8"/>
            <rFont val="Tahoma"/>
            <family val="2"/>
          </rPr>
          <t xml:space="preserve"> Wenn du die Summenformel benötigst, solltest du folgendermaßen vorgehen:
◙ gib einfach </t>
        </r>
        <r>
          <rPr>
            <b/>
            <sz val="8"/>
            <color indexed="10"/>
            <rFont val="Tahoma"/>
            <family val="2"/>
          </rPr>
          <t>=summe(</t>
        </r>
        <r>
          <rPr>
            <sz val="8"/>
            <rFont val="Tahoma"/>
            <family val="2"/>
          </rPr>
          <t xml:space="preserve"> ein
◙ markiere dann die gewünschten Zellen, z.B. </t>
        </r>
        <r>
          <rPr>
            <b/>
            <sz val="8"/>
            <color indexed="10"/>
            <rFont val="Tahoma"/>
            <family val="2"/>
          </rPr>
          <t>A1:A9</t>
        </r>
        <r>
          <rPr>
            <sz val="8"/>
            <rFont val="Tahoma"/>
            <family val="2"/>
          </rPr>
          <t xml:space="preserve">
◙ und gib zuletzt noch </t>
        </r>
        <r>
          <rPr>
            <b/>
            <sz val="8"/>
            <color indexed="10"/>
            <rFont val="Tahoma"/>
            <family val="2"/>
          </rPr>
          <t>)</t>
        </r>
        <r>
          <rPr>
            <sz val="8"/>
            <rFont val="Tahoma"/>
            <family val="2"/>
          </rPr>
          <t xml:space="preserve"> ein.
So sieht dann die komplette Formel aus: </t>
        </r>
        <r>
          <rPr>
            <b/>
            <sz val="8"/>
            <color indexed="10"/>
            <rFont val="Tahoma"/>
            <family val="2"/>
          </rPr>
          <t>=summe(A1:A9)</t>
        </r>
        <r>
          <rPr>
            <sz val="8"/>
            <rFont val="Tahoma"/>
            <family val="2"/>
          </rPr>
          <t xml:space="preserve">
Schließe diesen Vorgang mit Enter ab.</t>
        </r>
      </text>
    </comment>
  </commentList>
</comments>
</file>

<file path=xl/sharedStrings.xml><?xml version="1.0" encoding="utf-8"?>
<sst xmlns="http://schemas.openxmlformats.org/spreadsheetml/2006/main" count="1419" uniqueCount="697">
  <si>
    <t>Korrekturblatt</t>
  </si>
  <si>
    <t>unabhängige Ergebnisse</t>
  </si>
  <si>
    <t>abhängige Ergebnisse (werden wenn die Formel korrekt ist, als Folgefehler mit 0,5 Punkten bewertet)</t>
  </si>
  <si>
    <t>IST-ORGANISATION</t>
  </si>
  <si>
    <t>Ergebnis</t>
  </si>
  <si>
    <t>Formel-
prüfung</t>
  </si>
  <si>
    <t>Deine Be-rechnung</t>
  </si>
  <si>
    <t>Punkte</t>
  </si>
  <si>
    <t>Berechnen?</t>
  </si>
  <si>
    <t>1.</t>
  </si>
  <si>
    <t>Deckungsbeitrag / Variable Kosten</t>
  </si>
  <si>
    <t>x</t>
  </si>
  <si>
    <t>2.</t>
  </si>
  <si>
    <t>Ertrag / Bedarf MJ NEL</t>
  </si>
  <si>
    <t>3.</t>
  </si>
  <si>
    <t>Jahresarbeitszeit</t>
  </si>
  <si>
    <t>Gesamt Akh</t>
  </si>
  <si>
    <t>4.</t>
  </si>
  <si>
    <t>Einkommensermittlung</t>
  </si>
  <si>
    <t>5.</t>
  </si>
  <si>
    <t>Ermittlung der Kapitaldienstgrenze</t>
  </si>
  <si>
    <t>Plan</t>
  </si>
  <si>
    <t>Sonstige Einkommensbestandteile</t>
  </si>
  <si>
    <t>6.</t>
  </si>
  <si>
    <t>7.</t>
  </si>
  <si>
    <t>Vergleich</t>
  </si>
  <si>
    <t>Leistung und Kosten der Investition</t>
  </si>
  <si>
    <t>Beurteilung der Wirtschaftlichkeit</t>
  </si>
  <si>
    <t>Kapitaltilgung</t>
  </si>
  <si>
    <t>Schuldzinsen</t>
  </si>
  <si>
    <t>1. Milchleistung</t>
  </si>
  <si>
    <t>Grundfutterleistung</t>
  </si>
  <si>
    <t xml:space="preserve">Leistung aus Ergänzungsfutter </t>
  </si>
  <si>
    <t>2. Milchäquivalent</t>
  </si>
  <si>
    <t>Rohertrag</t>
  </si>
  <si>
    <t>VK-Ermittlung</t>
  </si>
  <si>
    <t>Variabele Grundfutterkosten</t>
  </si>
  <si>
    <t>Deckungsbeiträge und Förderungen</t>
  </si>
  <si>
    <t>Arbeitszeitermittlung und DB/Akh</t>
  </si>
  <si>
    <t>DB Mutterkuh</t>
  </si>
  <si>
    <t>1. Futterbedarf</t>
  </si>
  <si>
    <t>2. Rohgertrag</t>
  </si>
  <si>
    <t>3. Variable Kosten</t>
  </si>
  <si>
    <t>4. Variable Grundfutterkosten</t>
  </si>
  <si>
    <t>5. Förderungen</t>
  </si>
  <si>
    <t>6. Arbeitszeitbedarf</t>
  </si>
  <si>
    <t>DB je AK/Stunde</t>
  </si>
  <si>
    <t>Arbeitszeit pro Fuhre in Akh</t>
  </si>
  <si>
    <t>Arbeitszeit je 100 dt in Akh</t>
  </si>
  <si>
    <t>Variable Kosten und Arbeitszeitbedarf</t>
  </si>
  <si>
    <t>Arbeitsgänge - 1x pro Jahr</t>
  </si>
  <si>
    <t>Zwischensumme I</t>
  </si>
  <si>
    <t>Arbeitsgänge - 1x je Schnitt</t>
  </si>
  <si>
    <t>Zwischensumme II</t>
  </si>
  <si>
    <t>Variable Traktorkosten</t>
  </si>
  <si>
    <t>Zwischensumme III</t>
  </si>
  <si>
    <t>Variable Kosten der Trocknung</t>
  </si>
  <si>
    <t>Ertrag</t>
  </si>
  <si>
    <t>Nettoernergie in MJ NEL je kg TM</t>
  </si>
  <si>
    <t>Nettoernergie in MJ NEL gesamt</t>
  </si>
  <si>
    <t>Variable Kosten</t>
  </si>
  <si>
    <t>MASCHINEN-KORE - MASCHINE 1</t>
  </si>
  <si>
    <t>Alter und Zeitwert</t>
  </si>
  <si>
    <t>Alter (bisherige Nutzungsdauer)</t>
  </si>
  <si>
    <t>Fixkosten</t>
  </si>
  <si>
    <t>Jährliche Afa</t>
  </si>
  <si>
    <t>Unterbringung in €</t>
  </si>
  <si>
    <t>Versicherung in €</t>
  </si>
  <si>
    <t>Verzinsung in €</t>
  </si>
  <si>
    <t>Summe Fixkosten pro Jahr</t>
  </si>
  <si>
    <t>Energie pro Jahr</t>
  </si>
  <si>
    <t>Reparatur je 100 Stunden</t>
  </si>
  <si>
    <t>Reparatur pro Jahr</t>
  </si>
  <si>
    <t>Summe variable Kosten pro Jahr</t>
  </si>
  <si>
    <t>Durchschnitts- oder Stückkosten</t>
  </si>
  <si>
    <t>FK pro Stunde</t>
  </si>
  <si>
    <t>VK pro Stunde</t>
  </si>
  <si>
    <t>GK pro Stunde</t>
  </si>
  <si>
    <t>MASCHINEN-KORE - MASCHINE 2</t>
  </si>
  <si>
    <t>Vollkostenrechnung</t>
  </si>
  <si>
    <t>Anlagevermögen</t>
  </si>
  <si>
    <t>Bisherige Nutzungsdauer</t>
  </si>
  <si>
    <t>Zeitwert 1. Jänner</t>
  </si>
  <si>
    <t>Zeitwert 31. Dezember</t>
  </si>
  <si>
    <t>Umlaufvermögen</t>
  </si>
  <si>
    <t>Wert 1. Jänner</t>
  </si>
  <si>
    <t>Wert 31. Dezember</t>
  </si>
  <si>
    <t>Mehrwert/Minderwert</t>
  </si>
  <si>
    <t>Kreuze an!</t>
  </si>
  <si>
    <t>Gebäudebewertung</t>
  </si>
  <si>
    <t>Teil 1</t>
  </si>
  <si>
    <t>Teil 2</t>
  </si>
  <si>
    <t>Teil 3</t>
  </si>
  <si>
    <t>Teil 4</t>
  </si>
  <si>
    <t>Teil 5</t>
  </si>
  <si>
    <t>Gesamtpunktezahl</t>
  </si>
  <si>
    <t>Note</t>
  </si>
  <si>
    <t>Abstufung 1</t>
  </si>
  <si>
    <t>Abstufung 2</t>
  </si>
  <si>
    <t>Abstufung:</t>
  </si>
  <si>
    <t>Notizen/
Nebenrechnungen</t>
  </si>
  <si>
    <t>Ergebnisinterpretation</t>
  </si>
  <si>
    <t>(1.)</t>
  </si>
  <si>
    <t>Analyse der betriebliche Ausganssituation (IST)</t>
  </si>
  <si>
    <t>b.</t>
  </si>
  <si>
    <t>Beschreibe die finanzielle Situation des Betriebes vor Umsetzung des Projektes!</t>
  </si>
  <si>
    <t>Gesamteinkommen:</t>
  </si>
  <si>
    <t>/</t>
  </si>
  <si>
    <t>Lebenhaltungskosten:</t>
  </si>
  <si>
    <t>Kapitaldienstgrenze:</t>
  </si>
  <si>
    <t>Kapitaldienst-IST:</t>
  </si>
  <si>
    <t>c.</t>
  </si>
  <si>
    <t>Wie beurteilst du diese Zahlen?</t>
  </si>
  <si>
    <t>VglLHK_GEK</t>
  </si>
  <si>
    <t>VglKD_KDG</t>
  </si>
  <si>
    <t>(2.)</t>
  </si>
  <si>
    <t>Interpretation der künftigen betrieblichen Entwicklung (PLAN und FINANZ)</t>
  </si>
  <si>
    <t>a.</t>
  </si>
  <si>
    <t>Ist die Umsetzung des Projektes wirtschaftlich?</t>
  </si>
  <si>
    <t>Ankreuzen</t>
  </si>
  <si>
    <t xml:space="preserve"> ja</t>
  </si>
  <si>
    <t xml:space="preserve"> nein</t>
  </si>
  <si>
    <t>Leistung der Investition</t>
  </si>
  <si>
    <t>Kapitalkosten der Investition</t>
  </si>
  <si>
    <t>Differenz</t>
  </si>
  <si>
    <t>Begründung:</t>
  </si>
  <si>
    <t>Wirtschaftlichkeit</t>
  </si>
  <si>
    <t>Kannst du das Projekt auch finanzieren?</t>
  </si>
  <si>
    <t>Kapitaldienstgrenze bei Plan-Variante</t>
  </si>
  <si>
    <t>Kapitaldienst für die Investition</t>
  </si>
  <si>
    <t>Finanzierbarkeit</t>
  </si>
  <si>
    <t>künftiger Akh-Bedarf</t>
  </si>
  <si>
    <t>Künftige AK-Ausstattung</t>
  </si>
  <si>
    <t>das sind etwa</t>
  </si>
  <si>
    <t>Arbeitskräfte</t>
  </si>
  <si>
    <t>d.</t>
  </si>
  <si>
    <t>Kannst du den Energiebedarf durch den geänderten Viehbestand mit wirtschaftseigenem Grundfutter abdecken oder musst du Futter zukaufen?</t>
  </si>
  <si>
    <t xml:space="preserve"> kann mit Grundfutter gedeckt werden</t>
  </si>
  <si>
    <t>Energiebilanz</t>
  </si>
  <si>
    <t>MJ NEL</t>
  </si>
  <si>
    <t>(3.)</t>
  </si>
  <si>
    <t>Erstelle bie Eröffnungsbilanz deines Betriebes für das Jahr !</t>
  </si>
  <si>
    <t xml:space="preserve">Eröffnungsbilanz 1. 1. </t>
  </si>
  <si>
    <t>Aktiva</t>
  </si>
  <si>
    <t>Passiva</t>
  </si>
  <si>
    <t>Fremdkapital</t>
  </si>
  <si>
    <t>Eigenkapital =</t>
  </si>
  <si>
    <t>Summe Aktiva</t>
  </si>
  <si>
    <t>Summe Passiva</t>
  </si>
  <si>
    <t>Punkte:</t>
  </si>
  <si>
    <t>Betriebliche Ausgangssituation</t>
  </si>
  <si>
    <t>Produktions-verfahren</t>
  </si>
  <si>
    <t>Anzahl:
ha, Stk.</t>
  </si>
  <si>
    <t>Deckungsbeitrag (+) bzw. Variable Kosten (-)</t>
  </si>
  <si>
    <t>Ertrag (+) bzw Bedarf (-) an KStE oder MJ NEL</t>
  </si>
  <si>
    <t>Jahresarbeits-
zeit in Akh</t>
  </si>
  <si>
    <t>verfahren</t>
  </si>
  <si>
    <t>ha;Stk</t>
  </si>
  <si>
    <t>bzw. VK (-)</t>
  </si>
  <si>
    <t>(-) an KStE oder NEL</t>
  </si>
  <si>
    <t>bedarf in AKh</t>
  </si>
  <si>
    <t>je ha; Stk.</t>
  </si>
  <si>
    <t>gesamt</t>
  </si>
  <si>
    <t>je ha; Stk</t>
  </si>
  <si>
    <t>Gesamt DB</t>
  </si>
  <si>
    <t>Sonstige betriebliche Erträge       +</t>
  </si>
  <si>
    <t>Energie- und Arbeitszeitbilanz</t>
  </si>
  <si>
    <t xml:space="preserve"> +/- Ges.
Energie</t>
  </si>
  <si>
    <t>Gesamt
Akh</t>
  </si>
  <si>
    <t>Summe Sonstige Erträge</t>
  </si>
  <si>
    <t>Förderungen</t>
  </si>
  <si>
    <t>+</t>
  </si>
  <si>
    <t>Kapitaldienstgrenze</t>
  </si>
  <si>
    <t>Gesamteinkommen</t>
  </si>
  <si>
    <t>Lebenshaltungskosten</t>
  </si>
  <si>
    <t>Kapitaldienst für bestehende Kredite</t>
  </si>
  <si>
    <t>Vorläufige Kapitaldienstgrenze</t>
  </si>
  <si>
    <t>Afa für Gebäude und Maschinen, die während der Kreditlaufzeit nicht erneuert werden müssen.</t>
  </si>
  <si>
    <t>SUMME FÖRDERUNGEN</t>
  </si>
  <si>
    <t>GDB einschl. Förd. und sonst. Erträge</t>
  </si>
  <si>
    <t>Feste Kosten bei IST-Organisation</t>
  </si>
  <si>
    <t>LANDWIRTSCHAFTLICHES EINKOMMEN - Gesamt</t>
  </si>
  <si>
    <t>SOZIALEINKOMMEN</t>
  </si>
  <si>
    <t>NEBEEINKOMMEN</t>
  </si>
  <si>
    <t>GESAMTEINKOMMEN</t>
  </si>
  <si>
    <t>Berechnung geplanten Investition</t>
  </si>
  <si>
    <t>Investitionsvolumen</t>
  </si>
  <si>
    <t>Art der Investition</t>
  </si>
  <si>
    <t>Betrag</t>
  </si>
  <si>
    <t>Nd/Jahre</t>
  </si>
  <si>
    <t>Jährl. Afa</t>
  </si>
  <si>
    <t>Kapitalart</t>
  </si>
  <si>
    <t>Zinssatz</t>
  </si>
  <si>
    <t>Laufzeit</t>
  </si>
  <si>
    <t>Investitionssumme</t>
  </si>
  <si>
    <t>Finanzbedarf</t>
  </si>
  <si>
    <t>Steigerung der DB's</t>
  </si>
  <si>
    <t>Arbeitszeiteffekte</t>
  </si>
  <si>
    <t>Verringerung der VK's</t>
  </si>
  <si>
    <t>Steigerung der Energieausbeute</t>
  </si>
  <si>
    <t>Produktionsverfahren</t>
  </si>
  <si>
    <t>Jahresarbeitszeit 
in Akh</t>
  </si>
  <si>
    <t>Kapitaldienstgrenze bei IST-Organisation</t>
  </si>
  <si>
    <t>Kapitaldienstgrenze bei PLAN-Variante</t>
  </si>
  <si>
    <t>Kapitaldienst bei PLAN-Variante</t>
  </si>
  <si>
    <t>Kapitalbedarf für die Investition</t>
  </si>
  <si>
    <t>Davon Fremdkapital</t>
  </si>
  <si>
    <t>Afa für geplante Investition</t>
  </si>
  <si>
    <t>Schuldzinsen für geplante Investition</t>
  </si>
  <si>
    <t>Landwirtschaftliches Einkommen ohne Förderungen</t>
  </si>
  <si>
    <t>Einfache Methode: Kreditlaufzeit und Nutzungsdauer sind identisch!</t>
  </si>
  <si>
    <t>(also wieviel kostet mich die Investition pro Jahr - Rückgewinnung des eingesetzten Kapitals und Zinsen)</t>
  </si>
  <si>
    <t>Annuitäten-
faktor</t>
  </si>
  <si>
    <t>Nd</t>
  </si>
  <si>
    <t>Annuität</t>
  </si>
  <si>
    <t>SUMME DER ANNUITÄTEN = KAPITALKOSTEN</t>
  </si>
  <si>
    <t>Berechnung der Leistung der Investition</t>
  </si>
  <si>
    <t>= LEISTUNG DER INVESTITION</t>
  </si>
  <si>
    <t>VERGLEICH</t>
  </si>
  <si>
    <t>LEISTUNG DER INVESTITION          -</t>
  </si>
  <si>
    <t>KOSTEN DER INVESTITION</t>
  </si>
  <si>
    <t>Gesamtdeckungsbeitrag</t>
  </si>
  <si>
    <t>Landwirtschaftliches Einkommen</t>
  </si>
  <si>
    <t>-</t>
  </si>
  <si>
    <t xml:space="preserve"> =</t>
  </si>
  <si>
    <t>Ist diese Investition nun wirtschaftlich?</t>
  </si>
  <si>
    <t>Ja</t>
  </si>
  <si>
    <t>Nein</t>
  </si>
  <si>
    <t>Kreuze bitte zutreffendes an! Tippe dazu einfach ein x ein!</t>
  </si>
  <si>
    <t>Ermittlung des Kapitaldienstes</t>
  </si>
  <si>
    <t>(also wie viel muss ich jährlich dem Kreditinstitut überweisen)</t>
  </si>
  <si>
    <t>Fremdkapitalart</t>
  </si>
  <si>
    <t>Summe Annuität = Kapitaldienst</t>
  </si>
  <si>
    <t>Ermittlung der jährlichen Schuldzinsen</t>
  </si>
  <si>
    <t>jährlicher Kapitaldienst</t>
  </si>
  <si>
    <t>davon Kapitaltilgung</t>
  </si>
  <si>
    <t>daher Schuldzinsen</t>
  </si>
  <si>
    <t>Summe</t>
  </si>
  <si>
    <t>Die durchschnittlichen Schuldzinsen betragen für das erforderliche Fremdkapital</t>
  </si>
  <si>
    <t>Deckungsbeitragsermittlung für Milchkühe</t>
  </si>
  <si>
    <t>Zu erhebende Ausgagnsdaten:</t>
  </si>
  <si>
    <t>Futterbedarfserhebung</t>
  </si>
  <si>
    <t>Gesamt/Tag</t>
  </si>
  <si>
    <t>Betrieb</t>
  </si>
  <si>
    <t>je/Kuh</t>
  </si>
  <si>
    <t>Gesamtenergiebedarf</t>
  </si>
  <si>
    <t>Gehaltswerte</t>
  </si>
  <si>
    <t>NST-Ergänzungsfutter</t>
  </si>
  <si>
    <t xml:space="preserve">Milchleistung </t>
  </si>
  <si>
    <t>Grundfutter-
leistung</t>
  </si>
  <si>
    <t xml:space="preserve">Leistung aus Ergänzungs-
futter </t>
  </si>
  <si>
    <t>kg Milch</t>
  </si>
  <si>
    <t>Gehaltswerte der Milch</t>
  </si>
  <si>
    <t>Milchverwertung</t>
  </si>
  <si>
    <t>Lieferung an Molkerei</t>
  </si>
  <si>
    <t>Kontrolle</t>
  </si>
  <si>
    <t>Produkterzeugung - Verarbeitungsmilch</t>
  </si>
  <si>
    <t>kg Milchä-quivalent</t>
  </si>
  <si>
    <t>am HOF</t>
  </si>
  <si>
    <t>Almprodukte</t>
  </si>
  <si>
    <t>Zeit in h/100
kg ver. Milch</t>
  </si>
  <si>
    <t>Verwertungs-
schlüssel</t>
  </si>
  <si>
    <t>Magermilch</t>
  </si>
  <si>
    <t>Futtermilch</t>
  </si>
  <si>
    <t>Vollmilch</t>
  </si>
  <si>
    <t>Rohertragsdaten</t>
  </si>
  <si>
    <t>VK eigene Bestadnesergänzung</t>
  </si>
  <si>
    <t>ROHERTRAG:</t>
  </si>
  <si>
    <t>Preis/Einheit</t>
  </si>
  <si>
    <t>Gesamt</t>
  </si>
  <si>
    <t>Summe Milcherlös</t>
  </si>
  <si>
    <t>Altkuherlös</t>
  </si>
  <si>
    <t>Kälbererlös</t>
  </si>
  <si>
    <t>SUMME ROHERTRAG</t>
  </si>
  <si>
    <t>VK Ermittlung</t>
  </si>
  <si>
    <t>VK</t>
  </si>
  <si>
    <t>Menge</t>
  </si>
  <si>
    <t>SUMME VK</t>
  </si>
  <si>
    <t>DBK  Kalkulation (vorläufiger DB)</t>
  </si>
  <si>
    <t>VK-Eigene Futtermittel</t>
  </si>
  <si>
    <t>Grundfutter:</t>
  </si>
  <si>
    <t>Rationsanteil</t>
  </si>
  <si>
    <t>VK je MJ NEL</t>
  </si>
  <si>
    <t>in %</t>
  </si>
  <si>
    <t>in MJ NEL</t>
  </si>
  <si>
    <t>Summe Grundfutterkosten</t>
  </si>
  <si>
    <t>DB mit Berücksichtigung der Futterkosten</t>
  </si>
  <si>
    <t>DB mit Berücksichtigung der Futterkosten und Förderungen</t>
  </si>
  <si>
    <t>Arbeitszeitermittlung (DB je Akh)</t>
  </si>
  <si>
    <t>Stallarbeitszeit</t>
  </si>
  <si>
    <t>Min/Tag</t>
  </si>
  <si>
    <t>Verarbeitungszeit</t>
  </si>
  <si>
    <t>Gesamtstunden an Arbeitszeit</t>
  </si>
  <si>
    <t>Deckungsbeitragsermittlung für Mutterkuhhaltung</t>
  </si>
  <si>
    <t>BETRIEBSDATEN</t>
  </si>
  <si>
    <t>Futterbedarf</t>
  </si>
  <si>
    <t>Leistungsdaten</t>
  </si>
  <si>
    <t>Variantenzu-/-abschläge</t>
  </si>
  <si>
    <t>MJ NEL/Tag</t>
  </si>
  <si>
    <t>Bedarf/Tag</t>
  </si>
  <si>
    <t>Bedarf je Mutterkuh</t>
  </si>
  <si>
    <t>Geschlechterverhältnis</t>
  </si>
  <si>
    <t>Jahresbedarf ink. Nachkommen</t>
  </si>
  <si>
    <t>Weiblich</t>
  </si>
  <si>
    <t>Männlich</t>
  </si>
  <si>
    <t>Wichtige Kenndaten der zu verkaufenden Nakommen</t>
  </si>
  <si>
    <t>Fleischpreise</t>
  </si>
  <si>
    <t>Metzgereivermarktung</t>
  </si>
  <si>
    <t>€/kg Lebendgewicht-Altkuh</t>
  </si>
  <si>
    <t>Ausschlachtung und Ernährungszustand</t>
  </si>
  <si>
    <t/>
  </si>
  <si>
    <t>Lebend-
gewicht</t>
  </si>
  <si>
    <t>Ernährungs-
zustand</t>
  </si>
  <si>
    <t>Ausschlacht-
ung in %</t>
  </si>
  <si>
    <t>Direktvermarktung</t>
  </si>
  <si>
    <t>€/kg Schlachtgewicht</t>
  </si>
  <si>
    <t>Variante</t>
  </si>
  <si>
    <t>Gewicht</t>
  </si>
  <si>
    <t>ø</t>
  </si>
  <si>
    <t>Kalbin</t>
  </si>
  <si>
    <t>Stier</t>
  </si>
  <si>
    <t>Preis</t>
  </si>
  <si>
    <t>Bestandsergänzung</t>
  </si>
  <si>
    <t>DB ohne Grundfutterkosten und Förderungen</t>
  </si>
  <si>
    <t>Variable Grundfutterkosten</t>
  </si>
  <si>
    <t>DB mit Grundfutterkosten</t>
  </si>
  <si>
    <t>DB inkl Förderungen für MUKUH</t>
  </si>
  <si>
    <t>Arbeitszeitbedarf</t>
  </si>
  <si>
    <t>Stallarbeit - gesamt</t>
  </si>
  <si>
    <t>DB/Stunde</t>
  </si>
  <si>
    <t>VK-Ermittlung: Wirtschaftsdüngerausbringung</t>
  </si>
  <si>
    <t>Ladeleistung</t>
  </si>
  <si>
    <t xml:space="preserve"> Min</t>
  </si>
  <si>
    <t>Leistung</t>
  </si>
  <si>
    <t>min.</t>
  </si>
  <si>
    <t>Akh</t>
  </si>
  <si>
    <t>€/h</t>
  </si>
  <si>
    <t>€ gesamt</t>
  </si>
  <si>
    <t>Laden</t>
  </si>
  <si>
    <t>Transport</t>
  </si>
  <si>
    <t>Ausbringung</t>
  </si>
  <si>
    <t>Summe variable Maschinenkosten inkl. MWSt</t>
  </si>
  <si>
    <t>Aufschlag für Rüstzeit</t>
  </si>
  <si>
    <t>Ausbringungsmenge/ha und Jahr</t>
  </si>
  <si>
    <t>Netto (ohne MWSt)</t>
  </si>
  <si>
    <t>Brutto</t>
  </si>
  <si>
    <t>Arbeitszeit/ha und Jahr</t>
  </si>
  <si>
    <t>Leistung/KW</t>
  </si>
  <si>
    <t>Min.</t>
  </si>
  <si>
    <t>Warnung!</t>
  </si>
  <si>
    <t>Fläche</t>
  </si>
  <si>
    <t xml:space="preserve"> ha</t>
  </si>
  <si>
    <t>Gesamtstickstoff pro Hektar und Jahr</t>
  </si>
  <si>
    <t xml:space="preserve"> kg Rein-N</t>
  </si>
  <si>
    <t>ARBEITSBEDARF UND VARIABLE MASCHINENKOSTEN</t>
  </si>
  <si>
    <t>Produktionsverfahren:</t>
  </si>
  <si>
    <t>Anzahl der Schnitte:</t>
  </si>
  <si>
    <t>Arbeitsgänge</t>
  </si>
  <si>
    <t>AKh</t>
  </si>
  <si>
    <t>Traktorstunden pro ha</t>
  </si>
  <si>
    <t>Mh</t>
  </si>
  <si>
    <t>Variable Maschinenkosten</t>
  </si>
  <si>
    <t>1 x pro Jahr   → 1 x</t>
  </si>
  <si>
    <t>pro ha</t>
  </si>
  <si>
    <t>€/Mh</t>
  </si>
  <si>
    <t>Trh</t>
  </si>
  <si>
    <t>€/Trh</t>
  </si>
  <si>
    <t>kg TM</t>
  </si>
  <si>
    <t>€/kg TM</t>
  </si>
  <si>
    <t>Zwischensumme IV</t>
  </si>
  <si>
    <t xml:space="preserve"> MWSt)</t>
  </si>
  <si>
    <t>Ermittlung des Rohertrages für 1 ha Feldfutter</t>
  </si>
  <si>
    <t>je kg</t>
  </si>
  <si>
    <t>je ha</t>
  </si>
  <si>
    <t>Bruttoertrag</t>
  </si>
  <si>
    <t xml:space="preserve"> Bruttoenergiegehalt in MJ NEL</t>
  </si>
  <si>
    <t>Verluste</t>
  </si>
  <si>
    <t xml:space="preserve"> Nettoertrag in MJ NEL</t>
  </si>
  <si>
    <t>Ermittlung der variablen Kosten für 1 ha Feldfutter</t>
  </si>
  <si>
    <t>VK Maschinen</t>
  </si>
  <si>
    <t>VK Aussaat/Übersaat</t>
  </si>
  <si>
    <t>Summe Aussaat/Übersaat</t>
  </si>
  <si>
    <t>VK Minaeraldüngung</t>
  </si>
  <si>
    <t>Summe Mineraldünger</t>
  </si>
  <si>
    <t>Sonstige variable Kosten</t>
  </si>
  <si>
    <t>Summe sonstige variable Kosten</t>
  </si>
  <si>
    <t>Ergebnisse</t>
  </si>
  <si>
    <t>Umgelegt auf …</t>
  </si>
  <si>
    <t>Summe variable Kosten</t>
  </si>
  <si>
    <t>AK-Stunden/ha</t>
  </si>
  <si>
    <t>Kosten je MJ NEL/Nettoertrag</t>
  </si>
  <si>
    <t>Maschinenkostenrechnung:</t>
  </si>
  <si>
    <t>Ausgangsdaten</t>
  </si>
  <si>
    <t>Anschaffungswert</t>
  </si>
  <si>
    <t>Anschaffungsjahr</t>
  </si>
  <si>
    <t>Nutzungsdauer</t>
  </si>
  <si>
    <t>Auslastung/Betriebsstunden</t>
  </si>
  <si>
    <t>Zeitwert 1.1.</t>
  </si>
  <si>
    <t>Eingabe</t>
  </si>
  <si>
    <t>Berechnung</t>
  </si>
  <si>
    <t>Kosten/Jahr</t>
  </si>
  <si>
    <t>Jährliche Afa (A)</t>
  </si>
  <si>
    <t>Fixkosten
pro Jahr</t>
  </si>
  <si>
    <t>Verzinsung (Z)</t>
  </si>
  <si>
    <t>Berechnung/Eingabe</t>
  </si>
  <si>
    <t>Energiekosten/h</t>
  </si>
  <si>
    <t>Variable Kosten pro Jahr</t>
  </si>
  <si>
    <t>Kosten/Stunde</t>
  </si>
  <si>
    <t>Fixkosten pro Betriebsstunde</t>
  </si>
  <si>
    <t>Variable Kosten pro Betriebsstunde</t>
  </si>
  <si>
    <t>Gesamtkosten pro Betriebsstunde</t>
  </si>
  <si>
    <t>Sorte:</t>
  </si>
  <si>
    <t>LEISTUNG</t>
  </si>
  <si>
    <t>in Litern</t>
  </si>
  <si>
    <t>in Gläsern</t>
  </si>
  <si>
    <t>KOSTEN</t>
  </si>
  <si>
    <t>Spezialkosten</t>
  </si>
  <si>
    <t>Preis/
Einheit</t>
  </si>
  <si>
    <t>Kosten 
pro Glas</t>
  </si>
  <si>
    <t>Rohstoffkosten</t>
  </si>
  <si>
    <t>Summe Rohstoffkosten</t>
  </si>
  <si>
    <t>Verarbeitungskosten</t>
  </si>
  <si>
    <t>Preis /</t>
  </si>
  <si>
    <t>Einheit</t>
  </si>
  <si>
    <t>pro Woche</t>
  </si>
  <si>
    <t>pro Stk.</t>
  </si>
  <si>
    <t>Summe Verarbeitungskosten</t>
  </si>
  <si>
    <t>Arbeitskosten</t>
  </si>
  <si>
    <t>Menge od. Preis /</t>
  </si>
  <si>
    <t>Summe Arbeitskosten</t>
  </si>
  <si>
    <t>Summe Fixkosten</t>
  </si>
  <si>
    <t>Herstellungskosten</t>
  </si>
  <si>
    <t>Gemein- und Vermarktungskosten</t>
  </si>
  <si>
    <t>Vollkosten</t>
  </si>
  <si>
    <t>Preisuntergrenze</t>
  </si>
  <si>
    <t>Fixkostenart</t>
  </si>
  <si>
    <t>€/Jahr</t>
  </si>
  <si>
    <t>Verzeichnis des Umlaufvermögens und der Finanzbestände</t>
  </si>
  <si>
    <t>Bestand am 01. 01.</t>
  </si>
  <si>
    <t>Bestand am 31. 12.</t>
  </si>
  <si>
    <t>Mehr- Minderwert</t>
  </si>
  <si>
    <t>V IEHBESTAND</t>
  </si>
  <si>
    <t>€/Stück</t>
  </si>
  <si>
    <t>Summe Rinder</t>
  </si>
  <si>
    <t>Mehrwert</t>
  </si>
  <si>
    <t>Kreuze zutreffendes an! (ACHTUNG: Nur eine Antwort ist richtig!!)</t>
  </si>
  <si>
    <t>gleich geblieben</t>
  </si>
  <si>
    <t>Minderwert</t>
  </si>
  <si>
    <t>SCHWEINE</t>
  </si>
  <si>
    <t>Summe Schweine</t>
  </si>
  <si>
    <t>VORRÄTE</t>
  </si>
  <si>
    <t>Selbst erzeugte Vorräte</t>
  </si>
  <si>
    <t>Summe selbst erzeugte Vorräte</t>
  </si>
  <si>
    <t>Zugekaufte Vorräte</t>
  </si>
  <si>
    <t>Summe zugekaufte Vorräte</t>
  </si>
  <si>
    <t>FINANZBESTÄNDE</t>
  </si>
  <si>
    <t>ha; m²</t>
  </si>
  <si>
    <t>Ansch</t>
  </si>
  <si>
    <t>Anschaf-</t>
  </si>
  <si>
    <t>ND</t>
  </si>
  <si>
    <t>betr.</t>
  </si>
  <si>
    <t>Wert 01.01.</t>
  </si>
  <si>
    <t>jährliche</t>
  </si>
  <si>
    <t>Wert 31.12.</t>
  </si>
  <si>
    <t>m³</t>
  </si>
  <si>
    <t>Jahr</t>
  </si>
  <si>
    <t>fungswert</t>
  </si>
  <si>
    <t>Jahre</t>
  </si>
  <si>
    <t>Alter</t>
  </si>
  <si>
    <t>Afa</t>
  </si>
  <si>
    <t>akt. Jahr =</t>
  </si>
  <si>
    <t>AJ =</t>
  </si>
  <si>
    <t>Länge =</t>
  </si>
  <si>
    <t>m</t>
  </si>
  <si>
    <t>ND =</t>
  </si>
  <si>
    <t xml:space="preserve"> Jahre</t>
  </si>
  <si>
    <t>Breite =</t>
  </si>
  <si>
    <t>Höhe =</t>
  </si>
  <si>
    <t>BK-Richtsatz =</t>
  </si>
  <si>
    <t>€</t>
  </si>
  <si>
    <t xml:space="preserve"> €</t>
  </si>
  <si>
    <t>Kubatur</t>
  </si>
  <si>
    <t>=</t>
  </si>
  <si>
    <t>Formel</t>
  </si>
  <si>
    <r>
      <t>≤</t>
    </r>
    <r>
      <rPr>
        <sz val="8"/>
        <rFont val="Arial"/>
        <family val="2"/>
      </rPr>
      <t xml:space="preserve"> 1/4 Nutzungsdauer</t>
    </r>
  </si>
  <si>
    <t>&gt; 1/4 und &lt;1/2 Nutzungsdauer</t>
  </si>
  <si>
    <t>≥ 1/2 Nutzungsdauer</t>
  </si>
  <si>
    <t>BK-Richtsatz</t>
  </si>
  <si>
    <t>reduzierter BK-Richtsatz</t>
  </si>
  <si>
    <t>WW</t>
  </si>
  <si>
    <t>jAfa</t>
  </si>
  <si>
    <t>bAfa</t>
  </si>
  <si>
    <t>Das Anlagegut ist bereits abgeschrieben:</t>
  </si>
  <si>
    <t>Größe</t>
  </si>
  <si>
    <t>Formelliste</t>
  </si>
  <si>
    <t>Operatorenliste</t>
  </si>
  <si>
    <t>:</t>
  </si>
  <si>
    <t>Breite</t>
  </si>
  <si>
    <t>Höhe</t>
  </si>
  <si>
    <t>Länge</t>
  </si>
  <si>
    <r>
      <t>∑</t>
    </r>
    <r>
      <rPr>
        <b/>
        <i/>
        <sz val="8"/>
        <rFont val="Arial"/>
        <family val="2"/>
      </rPr>
      <t xml:space="preserve"> Afa</t>
    </r>
  </si>
  <si>
    <r>
      <t>Berechnung der Kapitalkosten</t>
    </r>
  </si>
  <si>
    <r>
      <t>Erhaltung</t>
    </r>
    <r>
      <rPr>
        <sz val="8"/>
        <rFont val="Arial"/>
        <family val="2"/>
      </rPr>
      <t>/Tag</t>
    </r>
  </si>
  <si>
    <r>
      <t>Leistung</t>
    </r>
    <r>
      <rPr>
        <sz val="8"/>
        <rFont val="Arial"/>
        <family val="2"/>
      </rPr>
      <t>/Tag</t>
    </r>
  </si>
  <si>
    <r>
      <t>Variable Traktorkosten</t>
    </r>
    <r>
      <rPr>
        <b/>
        <sz val="8"/>
        <color indexed="43"/>
        <rFont val="Arial"/>
        <family val="2"/>
      </rPr>
      <t xml:space="preserve">   → 1 x</t>
    </r>
  </si>
  <si>
    <r>
      <t xml:space="preserve">Variable Kosten der Trocknung  </t>
    </r>
    <r>
      <rPr>
        <b/>
        <sz val="8"/>
        <color indexed="43"/>
        <rFont val="Arial"/>
        <family val="2"/>
      </rPr>
      <t xml:space="preserve"> → 1 x</t>
    </r>
  </si>
  <si>
    <r>
      <t xml:space="preserve">Variable Kosten insgesamt </t>
    </r>
    <r>
      <rPr>
        <sz val="8"/>
        <rFont val="Arial"/>
        <family val="2"/>
      </rPr>
      <t>bei</t>
    </r>
  </si>
  <si>
    <r>
      <t xml:space="preserve">Variable Kosten insgesamt </t>
    </r>
    <r>
      <rPr>
        <sz val="8"/>
        <rFont val="Arial"/>
        <family val="2"/>
      </rPr>
      <t>(inkl.</t>
    </r>
  </si>
  <si>
    <r>
      <t xml:space="preserve">Alter </t>
    </r>
    <r>
      <rPr>
        <sz val="8"/>
        <rFont val="Arial"/>
        <family val="2"/>
      </rPr>
      <t>(bisherige Nutzungsdauer - bND)</t>
    </r>
  </si>
  <si>
    <r>
      <t xml:space="preserve">m    </t>
    </r>
    <r>
      <rPr>
        <sz val="6"/>
        <rFont val="Arial"/>
        <family val="2"/>
      </rPr>
      <t>(inkl. ½ Dachstuhlhöhe)</t>
    </r>
  </si>
  <si>
    <r>
      <t>ZW</t>
    </r>
    <r>
      <rPr>
        <b/>
        <vertAlign val="subscript"/>
        <sz val="8"/>
        <rFont val="Arial"/>
        <family val="2"/>
      </rPr>
      <t>1.1.</t>
    </r>
  </si>
  <si>
    <r>
      <t>ZW</t>
    </r>
    <r>
      <rPr>
        <b/>
        <vertAlign val="subscript"/>
        <sz val="8"/>
        <rFont val="Arial"/>
        <family val="2"/>
      </rPr>
      <t>31.12.</t>
    </r>
  </si>
  <si>
    <r>
      <t>Zeitwert</t>
    </r>
    <r>
      <rPr>
        <vertAlign val="subscript"/>
        <sz val="8"/>
        <rFont val="Arial"/>
        <family val="2"/>
      </rPr>
      <t>1.1.</t>
    </r>
  </si>
  <si>
    <r>
      <t>Zeitwert</t>
    </r>
    <r>
      <rPr>
        <vertAlign val="subscript"/>
        <sz val="8"/>
        <rFont val="Arial"/>
        <family val="2"/>
      </rPr>
      <t>31.12.</t>
    </r>
  </si>
  <si>
    <t>MJ NEL/Jahr</t>
  </si>
  <si>
    <t>U</t>
  </si>
  <si>
    <t>V</t>
  </si>
  <si>
    <t>Z</t>
  </si>
  <si>
    <t>E</t>
  </si>
  <si>
    <t>R</t>
  </si>
  <si>
    <t>Notizen/
Neben-rechnungen</t>
  </si>
  <si>
    <t>│</t>
  </si>
  <si>
    <t xml:space="preserve"> Akh/ha</t>
  </si>
  <si>
    <r>
      <t>LANDWIRTSCHAFTLICHES EINKOMMEN</t>
    </r>
    <r>
      <rPr>
        <sz val="7"/>
        <rFont val="Arial"/>
        <family val="2"/>
      </rPr>
      <t xml:space="preserve"> - EK/Akh</t>
    </r>
  </si>
  <si>
    <r>
      <t xml:space="preserve">Begründung: </t>
    </r>
    <r>
      <rPr>
        <sz val="8"/>
        <color indexed="10"/>
        <rFont val="Arial"/>
        <family val="2"/>
      </rPr>
      <t>Kreuze zutreffendes an. ACHTUNG: Es ist nur eine Antwort richtig!!!</t>
    </r>
  </si>
  <si>
    <t>Deine Eltern sind krank geworden und fallen daher als Arbeitskräfte aus. Deine Frau muss ihre Arbeitszeit im Betrieb auch noch etwas reduzieren, um deine Eltern betreuen zu können. Kann diese arbeitswirtschaftliche Veränderung durch das geplante Projekt abgefedert werden?</t>
  </si>
  <si>
    <t>Kalkulation fertig?</t>
  </si>
  <si>
    <t>Punktezahl</t>
  </si>
  <si>
    <t>*)</t>
  </si>
  <si>
    <r>
      <t xml:space="preserve">Vollarbeitskräfte </t>
    </r>
    <r>
      <rPr>
        <b/>
        <i/>
        <sz val="7"/>
        <color indexed="17"/>
        <rFont val="Arial"/>
        <family val="2"/>
      </rPr>
      <t>(Aus dem Angabentext zu entnehmen!)</t>
    </r>
  </si>
  <si>
    <r>
      <t xml:space="preserve">Arbeitskraftstunden </t>
    </r>
    <r>
      <rPr>
        <b/>
        <i/>
        <sz val="7"/>
        <color indexed="17"/>
        <rFont val="Arial"/>
        <family val="2"/>
      </rPr>
      <t>(Eigene Berechnung)</t>
    </r>
  </si>
  <si>
    <t xml:space="preserve"> ich habe zu wenig Grundfutter</t>
  </si>
  <si>
    <t>Grundfutterbedarf in MJ NEL</t>
  </si>
  <si>
    <t>ACHTUNG: muss negatvi sein!</t>
  </si>
  <si>
    <t>Arbeitszeit je 10 M³ in Akh</t>
  </si>
  <si>
    <t>Bilanz 1.1.</t>
  </si>
  <si>
    <t>V-B</t>
  </si>
  <si>
    <t>V-W</t>
  </si>
  <si>
    <t>K-B</t>
  </si>
  <si>
    <t>K-W</t>
  </si>
  <si>
    <t>AV</t>
  </si>
  <si>
    <t>FK</t>
  </si>
  <si>
    <t>UV</t>
  </si>
  <si>
    <t>EK</t>
  </si>
  <si>
    <t>Summa Aktiv</t>
  </si>
  <si>
    <t>Summe Passiv</t>
  </si>
  <si>
    <t>Fragen zum Grundbuchsauszug</t>
  </si>
  <si>
    <t>Lage</t>
  </si>
  <si>
    <t>Welche Einlagezahl hat diese Liegenschaft und was bedeutet der Begriff Liegenschaft?</t>
  </si>
  <si>
    <t>EZ</t>
  </si>
  <si>
    <t>Trage die entsprechende Einlagezahl ein!</t>
  </si>
  <si>
    <t>Wann wurde die letzte Veränderung an diesem Grundbuchskörper (an dieser Liegenschaft) vorgenommen?</t>
  </si>
  <si>
    <t>Trage das Jahr ein! (z.B. 1978)</t>
  </si>
  <si>
    <t>Einlagezahl</t>
  </si>
  <si>
    <t>Laufende Nummer</t>
  </si>
  <si>
    <t>Plombe</t>
  </si>
  <si>
    <t>Letzte Tagebuchzahl</t>
  </si>
  <si>
    <t>Abfragedatum</t>
  </si>
  <si>
    <t>Wo findest du die Angaben über die Grundstücke einer Liegenschaft?</t>
  </si>
  <si>
    <t>Wähle aus!</t>
  </si>
  <si>
    <t>und die Rechte, die mit dem Besitz der Liegenschaft verbunden sind?</t>
  </si>
  <si>
    <t>e.</t>
  </si>
  <si>
    <t>Wie viele Grundstücke gehören zu dieser Liegenschaft?</t>
  </si>
  <si>
    <t>Trage die richtige Zahl ein!</t>
  </si>
  <si>
    <t>f.</t>
  </si>
  <si>
    <t>Wie groß ist die Gesamtfläche in m² und in ha?</t>
  </si>
  <si>
    <t>g</t>
  </si>
  <si>
    <t>In welchem Teil des Grundbuches findest du Angaben über den/die Eigentümer der Liegenschaft?</t>
  </si>
  <si>
    <t>h.</t>
  </si>
  <si>
    <t>Wie vielen Eigentümern gehört die Liegenschaft, wie heißt die/der erste davon und wie groß ist ihr/sein Anteile?</t>
  </si>
  <si>
    <t>Eigentümer</t>
  </si>
  <si>
    <t>i.</t>
  </si>
  <si>
    <t>Wo sind etwaige Belastungen, die auf der Liegenschaft ruhen, zu finden?</t>
  </si>
  <si>
    <t>Rechte</t>
  </si>
  <si>
    <t>j.</t>
  </si>
  <si>
    <t>Welche Rechte sind mit dem Eigentum der Liegenschaft verbunden? Nenne die Rechte und beschreibe sie!</t>
  </si>
  <si>
    <t>Gst</t>
  </si>
  <si>
    <t>Ist nur ein Grundstück betroffen, bleibt diese Zelle leer!</t>
  </si>
  <si>
    <t>Für welches Grundstück der Liegenschaft? (Nenne die entsprechende Grundstücksnummer!)</t>
  </si>
  <si>
    <t>Trifft dieser Punkt zu, schreibe die Gst-Nummer ein!</t>
  </si>
  <si>
    <t>Gesamte Liegenschaft</t>
  </si>
  <si>
    <t>k.</t>
  </si>
  <si>
    <t>Welche Pflichten sind mit dem Grundstück verbunden?</t>
  </si>
  <si>
    <t>Pflichten</t>
  </si>
  <si>
    <t>Begünstigte</t>
  </si>
  <si>
    <t>l.</t>
  </si>
  <si>
    <t>Nach dem Wert des Rechtes (höherer Wert vor niedrigerem!)</t>
  </si>
  <si>
    <t>Nach Datum der Eintragung (Jüngere vor Älteren!)</t>
  </si>
  <si>
    <t>Nach Datum der Eintragung (Ältere vor Jüngeren!)</t>
  </si>
  <si>
    <t>Nach dem Wert des Rechtes (niedrigerer Wert vor höherem!)</t>
  </si>
  <si>
    <t>Ausnahme</t>
  </si>
  <si>
    <r>
      <t>ACHTUNG!</t>
    </r>
    <r>
      <rPr>
        <i/>
        <sz val="7"/>
        <color indexed="17"/>
        <rFont val="Arial"/>
        <family val="2"/>
      </rPr>
      <t xml:space="preserve"> Du musst unbedingt die fehlenden Werte aus den Kalkulationen übertragen, sonst werden die Antwortvorgaben ausgeblendet!</t>
    </r>
  </si>
  <si>
    <r>
      <t>Σ</t>
    </r>
    <r>
      <rPr>
        <b/>
        <sz val="9.6"/>
        <rFont val="Arial"/>
        <family val="2"/>
      </rPr>
      <t xml:space="preserve"> Akt</t>
    </r>
  </si>
  <si>
    <r>
      <t>Σ</t>
    </r>
    <r>
      <rPr>
        <b/>
        <sz val="9.6"/>
        <rFont val="Arial"/>
        <family val="2"/>
      </rPr>
      <t xml:space="preserve"> Pas</t>
    </r>
  </si>
  <si>
    <r>
      <t xml:space="preserve">Wo liegt diese Liegenschaft? </t>
    </r>
    <r>
      <rPr>
        <i/>
        <sz val="8"/>
        <color indexed="10"/>
        <rFont val="Arial"/>
        <family val="2"/>
      </rPr>
      <t>(Kreuze zutreffendes an!)</t>
    </r>
  </si>
  <si>
    <r>
      <t xml:space="preserve">Woran erkennst du das? </t>
    </r>
    <r>
      <rPr>
        <i/>
        <sz val="8"/>
        <color indexed="10"/>
        <rFont val="Arial"/>
        <family val="2"/>
      </rPr>
      <t>(Kreuze zutreffendes an!)</t>
    </r>
  </si>
  <si>
    <r>
      <t xml:space="preserve">oder </t>
    </r>
    <r>
      <rPr>
        <i/>
        <sz val="8"/>
        <color indexed="10"/>
        <rFont val="Arial"/>
        <family val="2"/>
      </rPr>
      <t>(Welchen Namen hat der ausgewählte Teil des Grundbuchsauszuges noch?)</t>
    </r>
  </si>
  <si>
    <r>
      <t xml:space="preserve">m² </t>
    </r>
    <r>
      <rPr>
        <i/>
        <sz val="8"/>
        <color indexed="10"/>
        <rFont val="Arial"/>
        <family val="2"/>
      </rPr>
      <t>(Trage den richtigen Wert ein!)</t>
    </r>
  </si>
  <si>
    <r>
      <t xml:space="preserve">ha </t>
    </r>
    <r>
      <rPr>
        <i/>
        <sz val="8"/>
        <color indexed="10"/>
        <rFont val="Arial"/>
        <family val="2"/>
      </rPr>
      <t>(Rechne jetzt in Hektar um!)</t>
    </r>
  </si>
  <si>
    <r>
      <t>Wie viele?</t>
    </r>
    <r>
      <rPr>
        <b/>
        <i/>
        <sz val="8"/>
        <color indexed="17"/>
        <rFont val="Arial"/>
        <family val="2"/>
      </rPr>
      <t xml:space="preserve"> </t>
    </r>
    <r>
      <rPr>
        <i/>
        <sz val="8"/>
        <color indexed="10"/>
        <rFont val="Arial"/>
        <family val="2"/>
      </rPr>
      <t>(Trage die richtige Anzahl ein!)</t>
    </r>
  </si>
  <si>
    <r>
      <t xml:space="preserve">Name: </t>
    </r>
    <r>
      <rPr>
        <i/>
        <sz val="8"/>
        <color indexed="10"/>
        <rFont val="Arial"/>
        <family val="2"/>
      </rPr>
      <t>(Wähle aus!)</t>
    </r>
  </si>
  <si>
    <r>
      <t xml:space="preserve">Anteil: </t>
    </r>
    <r>
      <rPr>
        <i/>
        <sz val="8"/>
        <color indexed="10"/>
        <rFont val="Arial"/>
        <family val="2"/>
      </rPr>
      <t>(Trage den betreffenden Anteil ein!)</t>
    </r>
  </si>
  <si>
    <r>
      <t xml:space="preserve">Recht 1: </t>
    </r>
    <r>
      <rPr>
        <i/>
        <sz val="8"/>
        <color indexed="10"/>
        <rFont val="Arial"/>
        <family val="2"/>
      </rPr>
      <t>(Wähle aus!)</t>
    </r>
  </si>
  <si>
    <r>
      <t xml:space="preserve">An welchem Grundstück? </t>
    </r>
    <r>
      <rPr>
        <i/>
        <sz val="8"/>
        <color indexed="10"/>
        <rFont val="Arial"/>
        <family val="2"/>
      </rPr>
      <t>(Trage die entsprechende(n) Grundstücksnummer(n) ein!)</t>
    </r>
  </si>
  <si>
    <r>
      <t xml:space="preserve">Recht 2: </t>
    </r>
    <r>
      <rPr>
        <i/>
        <sz val="8"/>
        <color indexed="10"/>
        <rFont val="Arial"/>
        <family val="2"/>
      </rPr>
      <t>(Wähle aus!)</t>
    </r>
  </si>
  <si>
    <r>
      <t xml:space="preserve">Für welches Grundstück der Liegenschaft? </t>
    </r>
    <r>
      <rPr>
        <i/>
        <sz val="8"/>
        <color indexed="10"/>
        <rFont val="Arial"/>
        <family val="2"/>
      </rPr>
      <t>(Wähle aus!)</t>
    </r>
  </si>
  <si>
    <r>
      <t xml:space="preserve">Pflicht 1: </t>
    </r>
    <r>
      <rPr>
        <i/>
        <sz val="8"/>
        <color indexed="10"/>
        <rFont val="Arial"/>
        <family val="2"/>
      </rPr>
      <t>(Wähle aus!)</t>
    </r>
  </si>
  <si>
    <r>
      <t xml:space="preserve">Wer hat den Vorteil aus der Verpflichtung? </t>
    </r>
    <r>
      <rPr>
        <i/>
        <sz val="8"/>
        <color indexed="10"/>
        <rFont val="Arial"/>
        <family val="2"/>
      </rPr>
      <t>(Wähle aus?)</t>
    </r>
  </si>
  <si>
    <r>
      <t xml:space="preserve">Pflicht 2: </t>
    </r>
    <r>
      <rPr>
        <i/>
        <sz val="8"/>
        <color indexed="10"/>
        <rFont val="Arial"/>
        <family val="2"/>
      </rPr>
      <t>(Wähle aus!)</t>
    </r>
  </si>
  <si>
    <r>
      <t xml:space="preserve">Pflicht 3: </t>
    </r>
    <r>
      <rPr>
        <i/>
        <sz val="8"/>
        <color indexed="10"/>
        <rFont val="Arial"/>
        <family val="2"/>
      </rPr>
      <t>(Wähle aus!)</t>
    </r>
  </si>
  <si>
    <r>
      <t xml:space="preserve">Pflicht 4: </t>
    </r>
    <r>
      <rPr>
        <i/>
        <sz val="8"/>
        <color indexed="10"/>
        <rFont val="Arial"/>
        <family val="2"/>
      </rPr>
      <t>(Wähle aus!)</t>
    </r>
  </si>
  <si>
    <r>
      <t xml:space="preserve">Nach welcher Rangordnung werden die Pflichten bedient? </t>
    </r>
    <r>
      <rPr>
        <i/>
        <sz val="8"/>
        <color indexed="10"/>
        <rFont val="Arial"/>
        <family val="2"/>
      </rPr>
      <t>(Kreuze zutreffendes an!)</t>
    </r>
  </si>
  <si>
    <r>
      <t xml:space="preserve">Ausnahme: </t>
    </r>
    <r>
      <rPr>
        <i/>
        <sz val="8"/>
        <color indexed="10"/>
        <rFont val="Arial"/>
        <family val="2"/>
      </rPr>
      <t>(Wähle aus!)</t>
    </r>
  </si>
  <si>
    <t>DB Milchkuhhaltung</t>
  </si>
  <si>
    <t>Bewertung von Gebäuden</t>
  </si>
  <si>
    <t>………………………….</t>
  </si>
  <si>
    <t>Afa und Zeitwert:</t>
  </si>
  <si>
    <t>Deckungsbeitrag (+) bzw Variable Kosten (-)</t>
  </si>
  <si>
    <t>Aktuelles Jahr</t>
  </si>
  <si>
    <t>Bisherige Afa</t>
  </si>
  <si>
    <t>Red. BK-Richtsatz</t>
  </si>
  <si>
    <t>Wiederbeschaffungswert</t>
  </si>
  <si>
    <r>
      <t>Zeitwert</t>
    </r>
    <r>
      <rPr>
        <vertAlign val="subscript"/>
        <sz val="10"/>
        <rFont val="Arial"/>
        <family val="2"/>
      </rPr>
      <t>1.1.</t>
    </r>
  </si>
  <si>
    <r>
      <t>Zeitwert</t>
    </r>
    <r>
      <rPr>
        <vertAlign val="subscript"/>
        <sz val="10"/>
        <rFont val="Arial"/>
        <family val="2"/>
      </rPr>
      <t>31.12.</t>
    </r>
  </si>
  <si>
    <t>DB Mutterschaf</t>
  </si>
  <si>
    <t>Deckungsbeitragsermittlung für Mutterschafhaltung</t>
  </si>
  <si>
    <t>Bestandsgröße (Schafe)</t>
  </si>
  <si>
    <t>Bestandesergänzung</t>
  </si>
  <si>
    <t>Lebendgewicht Schaf in kg</t>
  </si>
  <si>
    <t>Lamm Kraftfutter</t>
  </si>
  <si>
    <t>geborene Lämmer/Jahr</t>
  </si>
  <si>
    <t>Schaf Kraftfutter Preis</t>
  </si>
  <si>
    <t>Lämmerverluste in %</t>
  </si>
  <si>
    <t>Nährstoffgehalt Kraftfutter</t>
  </si>
  <si>
    <t>verkaufte Lämmer/Jahr</t>
  </si>
  <si>
    <t>Stk.</t>
  </si>
  <si>
    <t>Mineralstoffe, Lecksteine</t>
  </si>
  <si>
    <t>Nutzungsdauer Schaf in Jahren</t>
  </si>
  <si>
    <t>Tiergesundheit</t>
  </si>
  <si>
    <t>Mastendgewicht in kg</t>
  </si>
  <si>
    <t>Bockzukauf</t>
  </si>
  <si>
    <t>Mastdauer in Tagen</t>
  </si>
  <si>
    <t>Erlös Bockverkauf</t>
  </si>
  <si>
    <t>Altschafpreis in €/kg LG</t>
  </si>
  <si>
    <t>Bockabwertung</t>
  </si>
  <si>
    <t>Lammpreis in €/kg LG</t>
  </si>
  <si>
    <t>Vermarktung, diverse Gebühren</t>
  </si>
  <si>
    <t>Wollmenge in kg</t>
  </si>
  <si>
    <t>Einstreu Preis/Menge</t>
  </si>
  <si>
    <t>kg/Tag</t>
  </si>
  <si>
    <t>Wollpreis in €/kg</t>
  </si>
  <si>
    <t>Schafschur</t>
  </si>
  <si>
    <t>Sonstige Erlöse</t>
  </si>
  <si>
    <t>Sonstiges</t>
  </si>
  <si>
    <t>Stallhaltungstage</t>
  </si>
  <si>
    <t>Tage</t>
  </si>
  <si>
    <t>Daten zum Nährstoffbedarf je Schaf</t>
  </si>
  <si>
    <t>Faktoranspruch je Schaf</t>
  </si>
  <si>
    <t>pro Tag</t>
  </si>
  <si>
    <t>pro Stk und Jahr</t>
  </si>
  <si>
    <t>Nährstoffbedarf in MJ ME</t>
  </si>
  <si>
    <t>Arbeitszeit</t>
  </si>
  <si>
    <t>aus Grundfutter in MJ ME</t>
  </si>
  <si>
    <t>Stallarbeit</t>
  </si>
  <si>
    <t>aus Kraftfuttter in MJ ME</t>
  </si>
  <si>
    <t>Außenwirtschaft</t>
  </si>
  <si>
    <t>Kraftfutter in kg/Jahr</t>
  </si>
  <si>
    <t>kg</t>
  </si>
  <si>
    <t>Schlachtung/Vermarktung</t>
  </si>
  <si>
    <t>Ergebnis DB Lämmerproduktion</t>
  </si>
  <si>
    <t>Mastendgewicht</t>
  </si>
  <si>
    <t>kg LG/Lamm</t>
  </si>
  <si>
    <t>Mastdauer</t>
  </si>
  <si>
    <t>Nährstoffbedarf Schaf &amp; Lämmer</t>
  </si>
  <si>
    <t>MJ ME</t>
  </si>
  <si>
    <t>davon aus Grundfutter</t>
  </si>
  <si>
    <t>davon aus Kraftfutter</t>
  </si>
  <si>
    <t>Lamm</t>
  </si>
  <si>
    <t>Altschaf</t>
  </si>
  <si>
    <t>Wolle</t>
  </si>
  <si>
    <t>Summe Rohertrag</t>
  </si>
  <si>
    <t>€/Schaf</t>
  </si>
  <si>
    <t>Bestandeserg. Schaf</t>
  </si>
  <si>
    <t>Kraftfutter Lamm</t>
  </si>
  <si>
    <t>Kraftfutter Schaf</t>
  </si>
  <si>
    <t>Mineralstoffe</t>
  </si>
  <si>
    <t>Vermarktung, div.Gebühren</t>
  </si>
  <si>
    <t>Summe VK</t>
  </si>
  <si>
    <t>Deckungsbeitrag</t>
  </si>
  <si>
    <t>Energie aus Grundfutter</t>
  </si>
  <si>
    <t>DB inkl Förderungen für Mutterschaf</t>
  </si>
  <si>
    <t>Vermarktung</t>
  </si>
  <si>
    <t xml:space="preserve">Stallarbeit - gesamt </t>
  </si>
  <si>
    <t>DB I</t>
  </si>
  <si>
    <t>DB II</t>
  </si>
  <si>
    <t>DB III</t>
  </si>
  <si>
    <t>Beurtei-
lung</t>
  </si>
</sst>
</file>

<file path=xl/styles.xml><?xml version="1.0" encoding="utf-8"?>
<styleSheet xmlns="http://schemas.openxmlformats.org/spreadsheetml/2006/main">
  <numFmts count="10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_D_M_-;\-* #,##0.00\ _D_M_-;_-* &quot;-&quot;??\ _D_M_-;_-@_-"/>
    <numFmt numFmtId="167" formatCode="0.0"/>
    <numFmt numFmtId="168" formatCode="#,##0.0"/>
    <numFmt numFmtId="169" formatCode="#,###"/>
    <numFmt numFmtId="170" formatCode="_-* #,##0.00\ [$€-1]_-;\-* #,##0.00\ [$€-1]_-;_-* &quot;-&quot;??\ [$€-1]_-"/>
    <numFmt numFmtId="171" formatCode="#,##0.\-"/>
    <numFmt numFmtId="172" formatCode="#,###.0"/>
    <numFmt numFmtId="173" formatCode="&quot;€&quot;\ #,##0.00"/>
    <numFmt numFmtId="174" formatCode="#,##0.00\ &quot;€&quot;"/>
    <numFmt numFmtId="175" formatCode="#,##0.0?"/>
    <numFmt numFmtId="176" formatCode="0\ %\ &quot;Lieferantenrabatt&quot;"/>
    <numFmt numFmtId="177" formatCode="0\ %\ &quot;Lieferantenskonto&quot;"/>
    <numFmt numFmtId="178" formatCode="#,##0.\-\ &quot;€&quot;"/>
    <numFmt numFmtId="179" formatCode="&quot;Ergebnis in Prozent:&quot;\ 0\ %"/>
    <numFmt numFmtId="180" formatCode="0\ &quot;bis&quot;"/>
    <numFmt numFmtId="181" formatCode="&quot;oder&quot;\ 0\ &quot;Punkte&quot;"/>
    <numFmt numFmtId="182" formatCode="0&quot;%&quot;"/>
    <numFmt numFmtId="183" formatCode="&quot;Reparaturkosten/&quot;0&quot;h&quot;"/>
    <numFmt numFmtId="184" formatCode="0.0%"/>
    <numFmt numFmtId="185" formatCode="0\ &quot;Jahre&quot;"/>
    <numFmt numFmtId="186" formatCode="0\ &quot;h&quot;"/>
    <numFmt numFmtId="187" formatCode="0.0?\ %"/>
    <numFmt numFmtId="188" formatCode="#,##0\ &quot;h&quot;"/>
    <numFmt numFmtId="189" formatCode="#,##0.00\ &quot;€/100 h&quot;"/>
    <numFmt numFmtId="190" formatCode="#,##0&quot;kg&quot;"/>
    <numFmt numFmtId="191" formatCode="#,##0\k\g"/>
    <numFmt numFmtId="192" formatCode="#,##0\ &quot;g/Tag&quot;"/>
    <numFmt numFmtId="193" formatCode="#,##0\ &quot;NEL&quot;"/>
    <numFmt numFmtId="194" formatCode="&quot;€&quot;\ 0.00"/>
    <numFmt numFmtId="195" formatCode="#,##0.000"/>
    <numFmt numFmtId="196" formatCode="0.00\ &quot;Std&quot;"/>
    <numFmt numFmtId="197" formatCode="#,##0\ &quot;kg&quot;"/>
    <numFmt numFmtId="198" formatCode="#,##0.0\ &quot;NEL&quot;"/>
    <numFmt numFmtId="199" formatCode="#,##0.0\ &quot;g&quot;"/>
    <numFmt numFmtId="200" formatCode="0.00\ &quot;kg&quot;"/>
    <numFmt numFmtId="201" formatCode="0.00\ &quot;€/kg Milch&quot;"/>
    <numFmt numFmtId="202" formatCode="0.00\ &quot;€/kg&quot;"/>
    <numFmt numFmtId="203" formatCode="&quot;€&quot;\ #,##0.000"/>
    <numFmt numFmtId="204" formatCode="#,##0\ &quot;MJ NEL&quot;"/>
    <numFmt numFmtId="205" formatCode="#,##0\ %"/>
    <numFmt numFmtId="206" formatCode="[$€-2]\ #,##0.00"/>
    <numFmt numFmtId="207" formatCode="&quot;€&quot;\ #,##0.\-"/>
    <numFmt numFmtId="208" formatCode="&quot;öS&quot;\ #,##0.\-"/>
    <numFmt numFmtId="209" formatCode="0\ %"/>
    <numFmt numFmtId="210" formatCode="&quot;GESAMTE MASCHINENKOSTEN für&quot;\ 0\ &quot;dt&quot;"/>
    <numFmt numFmtId="211" formatCode="#,##0\ &quot;dt&quot;"/>
    <numFmt numFmtId="212" formatCode="#,##0.0#\ &quot;kg Stickstoff/t&quot;"/>
    <numFmt numFmtId="213" formatCode="#,##0.0#\ &quot;kg Rein-N&quot;"/>
    <numFmt numFmtId="214" formatCode="0.0\ &quot;m³&quot;"/>
    <numFmt numFmtId="215" formatCode="0.00\ &quot;kg Stickstoff/t&quot;"/>
    <numFmt numFmtId="216" formatCode="0\ &quot;m³&quot;"/>
    <numFmt numFmtId="217" formatCode="#,##0.0#"/>
    <numFmt numFmtId="218" formatCode="0\ &quot;KW&quot;"/>
    <numFmt numFmtId="219" formatCode="#,##0.000\ &quot;€&quot;"/>
    <numFmt numFmtId="220" formatCode="#,##0.0#\ &quot;kg&quot;"/>
    <numFmt numFmtId="221" formatCode="#,##0\ &quot;Schnitt(e)&quot;"/>
    <numFmt numFmtId="222" formatCode="#,##0\ &quot;kg TM&quot;"/>
    <numFmt numFmtId="223" formatCode="#,##0\ &quot;kg Heu&quot;"/>
    <numFmt numFmtId="224" formatCode="#,##0\ %\ &quot;Trockenmasse&quot;"/>
    <numFmt numFmtId="225" formatCode="#,##0.000\ &quot;€/kg&quot;"/>
    <numFmt numFmtId="226" formatCode="#,##0.0#\ %"/>
    <numFmt numFmtId="227" formatCode="0.000&quot;.&quot;000"/>
    <numFmt numFmtId="228" formatCode="\ \ \ \ \ #,##0.\-"/>
    <numFmt numFmtId="229" formatCode="0.0\ &quot;AKh&quot;"/>
    <numFmt numFmtId="230" formatCode="0.00\ &quot;L Alkohol&quot;"/>
    <numFmt numFmtId="231" formatCode="&quot;je&quot;\ 0\ &quot;kg Obst&quot;"/>
    <numFmt numFmtId="232" formatCode="0\ &quot;kg&quot;"/>
    <numFmt numFmtId="233" formatCode="#,##0\ &quot;Stk.&quot;"/>
    <numFmt numFmtId="234" formatCode="0\ &quot;Gläser&quot;"/>
    <numFmt numFmtId="235" formatCode="#,##0\ &quot;L&quot;"/>
    <numFmt numFmtId="236" formatCode="#,##0\ &quot;Kaffeelöffel&quot;"/>
    <numFmt numFmtId="237" formatCode="0\ &quot;KWh&quot;"/>
    <numFmt numFmtId="238" formatCode="0.00\ &quot;h&quot;"/>
    <numFmt numFmtId="239" formatCode="#,##0.00\ &quot;AKh&quot;"/>
    <numFmt numFmtId="240" formatCode="&quot;Vollkostenrechnung &quot;0"/>
    <numFmt numFmtId="241" formatCode="#,##0.00\ &quot;€/Woche&quot;"/>
    <numFmt numFmtId="242" formatCode="&quot;Pro Glas&quot;"/>
    <numFmt numFmtId="243" formatCode="#,##0.00\ &quot;€/Glas&quot;"/>
    <numFmt numFmtId="244" formatCode="##,##0.00\ &quot;€/Glas&quot;"/>
    <numFmt numFmtId="245" formatCode="0.00\ &quot;lt&quot;"/>
    <numFmt numFmtId="246" formatCode="0.0#\ &quot;lt&quot;"/>
    <numFmt numFmtId="247" formatCode="0.0#\ %"/>
    <numFmt numFmtId="248" formatCode="#,##0\ \k\g"/>
    <numFmt numFmtId="249" formatCode="0\ \k\g"/>
    <numFmt numFmtId="250" formatCode="0\ &quot;AKh&quot;"/>
    <numFmt numFmtId="251" formatCode="0.0?\ &quot;Stk.&quot;"/>
    <numFmt numFmtId="252" formatCode="&quot;Variante&quot;\ 0"/>
    <numFmt numFmtId="253" formatCode="\+\ 0\ %;\-\ 0\ %"/>
    <numFmt numFmtId="254" formatCode="0.0#\ %\ &quot;vom Rohertrag&quot;"/>
    <numFmt numFmtId="255" formatCode="#,##0\ &quot;kg GM&quot;"/>
    <numFmt numFmtId="256" formatCode="#\ ???/???"/>
    <numFmt numFmtId="257" formatCode="&quot;je&quot;\ #,##0.00\ &quot;lt&quot;"/>
    <numFmt numFmtId="258" formatCode="#,##0.00\ &quot;€/kg&quot;"/>
    <numFmt numFmtId="259" formatCode="#,##0\ &quot;AKmin&quot;"/>
    <numFmt numFmtId="260" formatCode="&quot; &quot;"/>
    <numFmt numFmtId="261" formatCode="0.0#\ &quot;Stk.&quot;"/>
    <numFmt numFmtId="262" formatCode="0.0#\ &quot;€&quot;"/>
    <numFmt numFmtId="263" formatCode="0.00\ &quot;€&quot;"/>
    <numFmt numFmtId="264" formatCode="#,##0.0\ &quot;AKmin&quot;"/>
  </numFmts>
  <fonts count="147">
    <font>
      <sz val="10"/>
      <name val="Arial"/>
      <family val="0"/>
    </font>
    <font>
      <b/>
      <sz val="10"/>
      <name val="Arial"/>
      <family val="0"/>
    </font>
    <font>
      <i/>
      <sz val="10"/>
      <name val="Arial"/>
      <family val="0"/>
    </font>
    <font>
      <b/>
      <i/>
      <sz val="10"/>
      <name val="Arial"/>
      <family val="0"/>
    </font>
    <font>
      <sz val="12"/>
      <name val="Arial"/>
      <family val="2"/>
    </font>
    <font>
      <b/>
      <sz val="12"/>
      <name val="Arial"/>
      <family val="2"/>
    </font>
    <font>
      <u val="single"/>
      <sz val="14"/>
      <color indexed="36"/>
      <name val="Arial"/>
      <family val="2"/>
    </font>
    <font>
      <sz val="8"/>
      <name val="Arial"/>
      <family val="2"/>
    </font>
    <font>
      <b/>
      <sz val="10"/>
      <color indexed="16"/>
      <name val="Arial"/>
      <family val="2"/>
    </font>
    <font>
      <sz val="12"/>
      <color indexed="9"/>
      <name val="Arial Black"/>
      <family val="2"/>
    </font>
    <font>
      <sz val="10"/>
      <name val="Arial Black"/>
      <family val="2"/>
    </font>
    <font>
      <b/>
      <sz val="8"/>
      <color indexed="12"/>
      <name val="Arial"/>
      <family val="2"/>
    </font>
    <font>
      <b/>
      <sz val="8"/>
      <name val="Arial"/>
      <family val="2"/>
    </font>
    <font>
      <b/>
      <sz val="8"/>
      <color indexed="10"/>
      <name val="Arial"/>
      <family val="2"/>
    </font>
    <font>
      <sz val="8"/>
      <name val="Arial Black"/>
      <family val="2"/>
    </font>
    <font>
      <sz val="6"/>
      <color indexed="12"/>
      <name val="Arial"/>
      <family val="2"/>
    </font>
    <font>
      <sz val="10"/>
      <name val="Helv"/>
      <family val="0"/>
    </font>
    <font>
      <b/>
      <sz val="10"/>
      <name val="Helv"/>
      <family val="0"/>
    </font>
    <font>
      <b/>
      <sz val="12"/>
      <color indexed="10"/>
      <name val="Arial"/>
      <family val="2"/>
    </font>
    <font>
      <sz val="14"/>
      <color indexed="9"/>
      <name val="Arial Black"/>
      <family val="2"/>
    </font>
    <font>
      <sz val="18"/>
      <name val="Arial"/>
      <family val="2"/>
    </font>
    <font>
      <u val="single"/>
      <sz val="14"/>
      <color indexed="12"/>
      <name val="Arial"/>
      <family val="2"/>
    </font>
    <font>
      <b/>
      <sz val="8"/>
      <name val="Helv"/>
      <family val="0"/>
    </font>
    <font>
      <sz val="10"/>
      <color indexed="21"/>
      <name val="Helv"/>
      <family val="0"/>
    </font>
    <font>
      <b/>
      <sz val="10"/>
      <color indexed="18"/>
      <name val="Helv"/>
      <family val="0"/>
    </font>
    <font>
      <b/>
      <i/>
      <sz val="10"/>
      <color indexed="9"/>
      <name val="Helv"/>
      <family val="0"/>
    </font>
    <font>
      <sz val="10"/>
      <name val="Times New Roman"/>
      <family val="1"/>
    </font>
    <font>
      <sz val="9"/>
      <color indexed="9"/>
      <name val="Arial Black"/>
      <family val="2"/>
    </font>
    <font>
      <sz val="9"/>
      <name val="Arial"/>
      <family val="2"/>
    </font>
    <font>
      <sz val="10"/>
      <color indexed="12"/>
      <name val="Arial"/>
      <family val="2"/>
    </font>
    <font>
      <sz val="12"/>
      <color indexed="10"/>
      <name val="Arial Black"/>
      <family val="2"/>
    </font>
    <font>
      <b/>
      <sz val="10"/>
      <color indexed="17"/>
      <name val="Arial"/>
      <family val="2"/>
    </font>
    <font>
      <b/>
      <sz val="9"/>
      <name val="Arial"/>
      <family val="2"/>
    </font>
    <font>
      <sz val="6"/>
      <name val="Arial"/>
      <family val="2"/>
    </font>
    <font>
      <u val="single"/>
      <sz val="8"/>
      <name val="Arial"/>
      <family val="2"/>
    </font>
    <font>
      <sz val="14"/>
      <name val="Arial Black"/>
      <family val="2"/>
    </font>
    <font>
      <b/>
      <sz val="18"/>
      <name val="Wingdings 2"/>
      <family val="1"/>
    </font>
    <font>
      <sz val="8"/>
      <color indexed="9"/>
      <name val="Times New Roman"/>
      <family val="1"/>
    </font>
    <font>
      <sz val="9"/>
      <name val="Times New Roman"/>
      <family val="1"/>
    </font>
    <font>
      <b/>
      <sz val="8"/>
      <color indexed="9"/>
      <name val="Arial"/>
      <family val="2"/>
    </font>
    <font>
      <sz val="10"/>
      <color indexed="9"/>
      <name val="Arial Black"/>
      <family val="2"/>
    </font>
    <font>
      <sz val="8"/>
      <color indexed="10"/>
      <name val="Arial"/>
      <family val="2"/>
    </font>
    <font>
      <b/>
      <i/>
      <sz val="8"/>
      <color indexed="12"/>
      <name val="Arial"/>
      <family val="2"/>
    </font>
    <font>
      <b/>
      <sz val="8"/>
      <color indexed="16"/>
      <name val="Arial"/>
      <family val="2"/>
    </font>
    <font>
      <sz val="8"/>
      <color indexed="17"/>
      <name val="Arial"/>
      <family val="2"/>
    </font>
    <font>
      <i/>
      <sz val="8"/>
      <color indexed="16"/>
      <name val="Arial"/>
      <family val="2"/>
    </font>
    <font>
      <sz val="8"/>
      <color indexed="9"/>
      <name val="Arial"/>
      <family val="2"/>
    </font>
    <font>
      <i/>
      <sz val="8"/>
      <color indexed="12"/>
      <name val="Arial"/>
      <family val="2"/>
    </font>
    <font>
      <b/>
      <sz val="8"/>
      <color indexed="43"/>
      <name val="Arial"/>
      <family val="2"/>
    </font>
    <font>
      <b/>
      <i/>
      <sz val="8"/>
      <name val="Arial"/>
      <family val="2"/>
    </font>
    <font>
      <b/>
      <sz val="8"/>
      <name val="Tahoma"/>
      <family val="2"/>
    </font>
    <font>
      <sz val="8"/>
      <name val="Tahoma"/>
      <family val="2"/>
    </font>
    <font>
      <sz val="8"/>
      <name val="Wingdings"/>
      <family val="0"/>
    </font>
    <font>
      <b/>
      <sz val="8"/>
      <color indexed="10"/>
      <name val="Tahoma"/>
      <family val="2"/>
    </font>
    <font>
      <sz val="8"/>
      <color indexed="9"/>
      <name val="Arial Black"/>
      <family val="2"/>
    </font>
    <font>
      <sz val="14"/>
      <color indexed="9"/>
      <name val="Arial"/>
      <family val="2"/>
    </font>
    <font>
      <b/>
      <sz val="6"/>
      <name val="Arial"/>
      <family val="2"/>
    </font>
    <font>
      <i/>
      <sz val="8"/>
      <name val="Arial"/>
      <family val="2"/>
    </font>
    <font>
      <sz val="6"/>
      <color indexed="43"/>
      <name val="Arial"/>
      <family val="2"/>
    </font>
    <font>
      <sz val="6"/>
      <color indexed="43"/>
      <name val="Wingdings"/>
      <family val="0"/>
    </font>
    <font>
      <sz val="6"/>
      <name val="Wingdings"/>
      <family val="0"/>
    </font>
    <font>
      <sz val="18"/>
      <color indexed="9"/>
      <name val="Arial"/>
      <family val="2"/>
    </font>
    <font>
      <sz val="10"/>
      <color indexed="9"/>
      <name val="Arial"/>
      <family val="2"/>
    </font>
    <font>
      <sz val="8"/>
      <color indexed="55"/>
      <name val="Arial"/>
      <family val="2"/>
    </font>
    <font>
      <sz val="6"/>
      <color indexed="54"/>
      <name val="Arial"/>
      <family val="2"/>
    </font>
    <font>
      <sz val="8"/>
      <color indexed="12"/>
      <name val="Arial"/>
      <family val="2"/>
    </font>
    <font>
      <sz val="16"/>
      <color indexed="9"/>
      <name val="Arial Black"/>
      <family val="2"/>
    </font>
    <font>
      <b/>
      <i/>
      <sz val="10"/>
      <color indexed="9"/>
      <name val="Arial"/>
      <family val="2"/>
    </font>
    <font>
      <sz val="8"/>
      <color indexed="22"/>
      <name val="Arial"/>
      <family val="2"/>
    </font>
    <font>
      <b/>
      <sz val="14"/>
      <color indexed="9"/>
      <name val="Arial Black"/>
      <family val="2"/>
    </font>
    <font>
      <i/>
      <sz val="6"/>
      <name val="Arial"/>
      <family val="2"/>
    </font>
    <font>
      <b/>
      <sz val="10"/>
      <color indexed="9"/>
      <name val="Arial"/>
      <family val="2"/>
    </font>
    <font>
      <sz val="5"/>
      <name val="Arial"/>
      <family val="2"/>
    </font>
    <font>
      <sz val="8"/>
      <color indexed="10"/>
      <name val="Tahoma"/>
      <family val="2"/>
    </font>
    <font>
      <sz val="7"/>
      <name val="Wingdings"/>
      <family val="0"/>
    </font>
    <font>
      <sz val="7"/>
      <name val="Tahoma"/>
      <family val="2"/>
    </font>
    <font>
      <b/>
      <sz val="7"/>
      <name val="Tahoma"/>
      <family val="2"/>
    </font>
    <font>
      <b/>
      <sz val="7"/>
      <name val="Arial"/>
      <family val="2"/>
    </font>
    <font>
      <i/>
      <u val="single"/>
      <sz val="8"/>
      <name val="Arial"/>
      <family val="2"/>
    </font>
    <font>
      <sz val="6"/>
      <color indexed="48"/>
      <name val="Arial"/>
      <family val="2"/>
    </font>
    <font>
      <b/>
      <sz val="8"/>
      <name val="Wingdings 3"/>
      <family val="1"/>
    </font>
    <font>
      <b/>
      <vertAlign val="subscript"/>
      <sz val="8"/>
      <name val="Arial"/>
      <family val="2"/>
    </font>
    <font>
      <vertAlign val="subscript"/>
      <sz val="8"/>
      <name val="Arial"/>
      <family val="2"/>
    </font>
    <font>
      <vertAlign val="subscript"/>
      <sz val="10"/>
      <name val="Arial"/>
      <family val="2"/>
    </font>
    <font>
      <sz val="12"/>
      <color indexed="9"/>
      <name val="Arial"/>
      <family val="2"/>
    </font>
    <font>
      <sz val="10"/>
      <color indexed="50"/>
      <name val="Arial Black"/>
      <family val="2"/>
    </font>
    <font>
      <sz val="9"/>
      <color indexed="50"/>
      <name val="Arial Black"/>
      <family val="2"/>
    </font>
    <font>
      <sz val="7"/>
      <name val="Arial"/>
      <family val="2"/>
    </font>
    <font>
      <sz val="7"/>
      <color indexed="42"/>
      <name val="Arial"/>
      <family val="2"/>
    </font>
    <font>
      <b/>
      <sz val="7"/>
      <color indexed="43"/>
      <name val="Arial"/>
      <family val="2"/>
    </font>
    <font>
      <sz val="14"/>
      <color indexed="10"/>
      <name val="Arial Black"/>
      <family val="2"/>
    </font>
    <font>
      <b/>
      <sz val="8"/>
      <color indexed="9"/>
      <name val="Arial Black"/>
      <family val="2"/>
    </font>
    <font>
      <sz val="12"/>
      <color indexed="34"/>
      <name val="Arial Black"/>
      <family val="2"/>
    </font>
    <font>
      <b/>
      <sz val="10"/>
      <color indexed="43"/>
      <name val="Arial"/>
      <family val="2"/>
    </font>
    <font>
      <sz val="7"/>
      <color indexed="10"/>
      <name val="Arial"/>
      <family val="2"/>
    </font>
    <font>
      <b/>
      <i/>
      <sz val="7"/>
      <color indexed="17"/>
      <name val="Arial"/>
      <family val="2"/>
    </font>
    <font>
      <b/>
      <sz val="7"/>
      <color indexed="17"/>
      <name val="Arial"/>
      <family val="2"/>
    </font>
    <font>
      <b/>
      <sz val="8"/>
      <color indexed="17"/>
      <name val="Arial"/>
      <family val="2"/>
    </font>
    <font>
      <i/>
      <sz val="7"/>
      <color indexed="17"/>
      <name val="Arial"/>
      <family val="2"/>
    </font>
    <font>
      <i/>
      <u val="single"/>
      <sz val="7"/>
      <color indexed="17"/>
      <name val="Arial"/>
      <family val="2"/>
    </font>
    <font>
      <b/>
      <sz val="9.6"/>
      <name val="Arial"/>
      <family val="2"/>
    </font>
    <font>
      <i/>
      <sz val="8"/>
      <color indexed="10"/>
      <name val="Arial"/>
      <family val="2"/>
    </font>
    <font>
      <b/>
      <i/>
      <sz val="8"/>
      <color indexed="17"/>
      <name val="Arial"/>
      <family val="2"/>
    </font>
    <font>
      <i/>
      <sz val="8"/>
      <color indexed="17"/>
      <name val="Arial"/>
      <family val="2"/>
    </font>
    <font>
      <u val="single"/>
      <sz val="10"/>
      <name val="Arial"/>
      <family val="2"/>
    </font>
    <font>
      <sz val="8"/>
      <color indexed="54"/>
      <name val="Arial"/>
      <family val="2"/>
    </font>
    <font>
      <b/>
      <sz val="18"/>
      <color indexed="10"/>
      <name val="Arial"/>
      <family val="2"/>
    </font>
    <font>
      <sz val="10"/>
      <name val="MS Sans Serif"/>
      <family val="0"/>
    </font>
    <font>
      <b/>
      <sz val="8"/>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8"/>
      <color indexed="60"/>
      <name val="Arial"/>
      <family val="2"/>
    </font>
    <font>
      <sz val="8"/>
      <name val="Segoe UI"/>
      <family val="2"/>
    </font>
    <font>
      <b/>
      <sz val="8"/>
      <color indexed="9"/>
      <name val="Wingdings 3"/>
      <family val="0"/>
    </font>
    <font>
      <sz val="4"/>
      <color indexed="8"/>
      <name val="Arial"/>
      <family val="0"/>
    </font>
    <font>
      <sz val="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rgb="FFC00000"/>
      <name val="Arial"/>
      <family val="2"/>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2"/>
        <bgColor indexed="64"/>
      </patternFill>
    </fill>
    <fill>
      <patternFill patternType="mediumGray">
        <fgColor indexed="21"/>
      </patternFill>
    </fill>
    <fill>
      <patternFill patternType="darkGray">
        <fgColor indexed="22"/>
        <bgColor indexed="11"/>
      </patternFill>
    </fill>
    <fill>
      <patternFill patternType="mediumGray">
        <fgColor indexed="22"/>
        <bgColor indexed="21"/>
      </patternFill>
    </fill>
    <fill>
      <patternFill patternType="solid">
        <fgColor indexed="23"/>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mediumGray">
        <fgColor indexed="22"/>
        <bgColor indexed="10"/>
      </patternFill>
    </fill>
    <fill>
      <patternFill patternType="mediumGray">
        <fgColor indexed="13"/>
      </patternFill>
    </fill>
    <fill>
      <patternFill patternType="solid">
        <fgColor indexed="40"/>
        <bgColor indexed="64"/>
      </patternFill>
    </fill>
    <fill>
      <patternFill patternType="solid">
        <fgColor indexed="8"/>
        <bgColor indexed="64"/>
      </patternFill>
    </fill>
    <fill>
      <patternFill patternType="mediumGray">
        <fgColor indexed="21"/>
        <bgColor indexed="9"/>
      </patternFill>
    </fill>
    <fill>
      <patternFill patternType="solid">
        <fgColor rgb="FFFFCC99"/>
        <bgColor indexed="64"/>
      </patternFill>
    </fill>
    <fill>
      <patternFill patternType="mediumGray">
        <fgColor indexed="22"/>
      </patternFill>
    </fill>
    <fill>
      <patternFill patternType="solid">
        <fgColor rgb="FFC6EFCE"/>
        <bgColor indexed="64"/>
      </patternFill>
    </fill>
    <fill>
      <patternFill patternType="mediumGray">
        <fgColor indexed="9"/>
        <bgColor indexed="15"/>
      </patternFill>
    </fill>
    <fill>
      <patternFill patternType="lightGray">
        <fgColor indexed="13"/>
        <bgColor indexed="9"/>
      </patternFill>
    </fill>
    <fill>
      <patternFill patternType="lightGray">
        <fgColor indexed="11"/>
      </patternFill>
    </fill>
    <fill>
      <patternFill patternType="mediumGray">
        <fgColor indexed="13"/>
        <bgColor indexed="9"/>
      </patternFill>
    </fill>
    <fill>
      <patternFill patternType="mediumGray">
        <fgColor indexed="15"/>
      </patternFill>
    </fill>
    <fill>
      <patternFill patternType="mediumGray">
        <fgColor indexed="11"/>
        <bgColor indexed="9"/>
      </patternFill>
    </fill>
    <fill>
      <patternFill patternType="solid">
        <fgColor indexed="15"/>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C7CE"/>
        <bgColor indexed="64"/>
      </patternFill>
    </fill>
    <fill>
      <patternFill patternType="lightGray">
        <fgColor indexed="13"/>
      </patternFill>
    </fill>
    <fill>
      <patternFill patternType="solid">
        <fgColor indexed="18"/>
        <bgColor indexed="64"/>
      </patternFill>
    </fill>
    <fill>
      <patternFill patternType="solid">
        <fgColor rgb="FFA5A5A5"/>
        <bgColor indexed="64"/>
      </patternFill>
    </fill>
    <fill>
      <patternFill patternType="solid">
        <fgColor indexed="50"/>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12"/>
        <bgColor indexed="64"/>
      </patternFill>
    </fill>
    <fill>
      <patternFill patternType="solid">
        <fgColor indexed="45"/>
        <bgColor indexed="64"/>
      </patternFill>
    </fill>
    <fill>
      <patternFill patternType="solid">
        <fgColor indexed="17"/>
        <bgColor indexed="64"/>
      </patternFill>
    </fill>
    <fill>
      <patternFill patternType="solid">
        <fgColor indexed="14"/>
        <bgColor indexed="64"/>
      </patternFill>
    </fill>
    <fill>
      <patternFill patternType="solid">
        <fgColor rgb="FFFFFF00"/>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hair">
        <color indexed="10"/>
      </left>
      <right>
        <color indexed="63"/>
      </right>
      <top style="hair">
        <color indexed="10"/>
      </top>
      <bottom>
        <color indexed="63"/>
      </bottom>
    </border>
    <border>
      <left>
        <color indexed="63"/>
      </left>
      <right>
        <color indexed="63"/>
      </right>
      <top style="hair">
        <color indexed="10"/>
      </top>
      <bottom>
        <color indexed="63"/>
      </bottom>
    </border>
    <border>
      <left style="thin">
        <color indexed="23"/>
      </left>
      <right style="thin">
        <color indexed="22"/>
      </right>
      <top style="thin">
        <color indexed="23"/>
      </top>
      <bottom style="thin">
        <color indexed="22"/>
      </bottom>
    </border>
    <border>
      <left>
        <color indexed="63"/>
      </left>
      <right>
        <color indexed="63"/>
      </right>
      <top>
        <color indexed="63"/>
      </top>
      <bottom style="thin">
        <color indexed="22"/>
      </bottom>
    </border>
    <border>
      <left style="medium"/>
      <right>
        <color indexed="63"/>
      </right>
      <top style="thin"/>
      <bottom>
        <color indexed="63"/>
      </bottom>
    </border>
    <border>
      <left style="medium"/>
      <right style="medium"/>
      <top>
        <color indexed="63"/>
      </top>
      <bottom>
        <color indexed="63"/>
      </bottom>
    </border>
    <border>
      <left style="thin">
        <color indexed="23"/>
      </left>
      <right>
        <color indexed="63"/>
      </right>
      <top style="thin">
        <color indexed="23"/>
      </top>
      <bottom style="thin">
        <color indexed="22"/>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rgb="FFB2B2B2"/>
      </left>
      <right style="thin">
        <color rgb="FFB2B2B2"/>
      </right>
      <top style="thin">
        <color rgb="FFB2B2B2"/>
      </top>
      <bottom style="thin">
        <color rgb="FFB2B2B2"/>
      </bottom>
    </border>
    <border>
      <left style="medium"/>
      <right style="medium"/>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hair"/>
      <right style="hair"/>
      <top style="hair"/>
      <bottom style="hair"/>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hair"/>
      <right>
        <color indexed="63"/>
      </right>
      <top style="hair"/>
      <bottom style="hair"/>
    </border>
    <border>
      <left style="medium"/>
      <right style="medium"/>
      <top style="medium"/>
      <bottom style="medium"/>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style="hair"/>
    </border>
    <border>
      <left style="hair">
        <color indexed="9"/>
      </left>
      <right>
        <color indexed="63"/>
      </right>
      <top>
        <color indexed="63"/>
      </top>
      <bottom>
        <color indexed="63"/>
      </bottom>
    </border>
    <border>
      <left style="hair">
        <color indexed="9"/>
      </left>
      <right style="hair">
        <color indexed="9"/>
      </right>
      <top style="hair">
        <color indexed="9"/>
      </top>
      <bottom style="hair">
        <color indexed="9"/>
      </bottom>
    </border>
    <border>
      <left style="hair">
        <color indexed="9"/>
      </left>
      <right style="hair">
        <color indexed="9"/>
      </right>
      <top>
        <color indexed="63"/>
      </top>
      <bottom style="hair">
        <color indexed="9"/>
      </bottom>
    </border>
    <border>
      <left style="hair"/>
      <right>
        <color indexed="63"/>
      </right>
      <top style="hair"/>
      <bottom>
        <color indexed="63"/>
      </bottom>
    </border>
    <border>
      <left style="thin"/>
      <right>
        <color indexed="63"/>
      </right>
      <top style="thin"/>
      <bottom style="thin"/>
    </border>
    <border>
      <left>
        <color indexed="63"/>
      </left>
      <right style="hair"/>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hair"/>
      <right>
        <color indexed="63"/>
      </right>
      <top>
        <color indexed="63"/>
      </top>
      <bottom style="hair"/>
    </border>
    <border>
      <left style="medium"/>
      <right style="medium"/>
      <top style="medium"/>
      <bottom>
        <color indexed="63"/>
      </bottom>
    </border>
    <border>
      <left style="hair"/>
      <right style="medium"/>
      <top style="hair"/>
      <bottom style="hair"/>
    </border>
    <border>
      <left style="medium"/>
      <right>
        <color indexed="63"/>
      </right>
      <top style="medium"/>
      <bottom style="medium"/>
    </border>
    <border>
      <left>
        <color indexed="63"/>
      </left>
      <right style="thin"/>
      <top>
        <color indexed="63"/>
      </top>
      <bottom>
        <color indexed="63"/>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style="thick">
        <color indexed="12"/>
      </left>
      <right style="thick">
        <color indexed="12"/>
      </right>
      <top style="thick">
        <color indexed="12"/>
      </top>
      <bottom style="thick">
        <color indexed="12"/>
      </bottom>
    </border>
    <border>
      <left>
        <color indexed="63"/>
      </left>
      <right>
        <color indexed="63"/>
      </right>
      <top style="thin"/>
      <bottom style="double"/>
    </border>
    <border>
      <left>
        <color indexed="63"/>
      </left>
      <right style="thin"/>
      <top style="thin"/>
      <bottom style="double"/>
    </border>
    <border>
      <left style="hair"/>
      <right style="hair"/>
      <top style="hair"/>
      <bottom style="mediu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top style="medium"/>
      <bottom style="medium"/>
    </border>
    <border>
      <left style="hair">
        <color indexed="9"/>
      </left>
      <right style="hair">
        <color indexed="9"/>
      </right>
      <top style="hair">
        <color indexed="9"/>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1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0" fillId="2" borderId="0" applyNumberFormat="0" applyBorder="0" applyAlignment="0" applyProtection="0"/>
    <xf numFmtId="0" fontId="130" fillId="3" borderId="0" applyNumberFormat="0" applyBorder="0" applyAlignment="0" applyProtection="0"/>
    <xf numFmtId="0" fontId="130" fillId="4" borderId="0" applyNumberFormat="0" applyBorder="0" applyAlignment="0" applyProtection="0"/>
    <xf numFmtId="0" fontId="130" fillId="5" borderId="0" applyNumberFormat="0" applyBorder="0" applyAlignment="0" applyProtection="0"/>
    <xf numFmtId="0" fontId="130" fillId="6" borderId="0" applyNumberFormat="0" applyBorder="0" applyAlignment="0" applyProtection="0"/>
    <xf numFmtId="0" fontId="130" fillId="7" borderId="0" applyNumberFormat="0" applyBorder="0" applyAlignment="0" applyProtection="0"/>
    <xf numFmtId="0" fontId="130" fillId="8" borderId="0" applyNumberFormat="0" applyBorder="0" applyAlignment="0" applyProtection="0"/>
    <xf numFmtId="0" fontId="130" fillId="9" borderId="0" applyNumberFormat="0" applyBorder="0" applyAlignment="0" applyProtection="0"/>
    <xf numFmtId="0" fontId="130" fillId="10" borderId="0" applyNumberFormat="0" applyBorder="0" applyAlignment="0" applyProtection="0"/>
    <xf numFmtId="0" fontId="130" fillId="11" borderId="0" applyNumberFormat="0" applyBorder="0" applyAlignment="0" applyProtection="0"/>
    <xf numFmtId="0" fontId="130" fillId="12" borderId="0" applyNumberFormat="0" applyBorder="0" applyAlignment="0" applyProtection="0"/>
    <xf numFmtId="0" fontId="13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174" fontId="4" fillId="0" borderId="0">
      <alignment/>
      <protection/>
    </xf>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132" fillId="26" borderId="1" applyNumberFormat="0" applyAlignment="0" applyProtection="0"/>
    <xf numFmtId="0" fontId="133" fillId="26" borderId="2" applyNumberFormat="0" applyAlignment="0" applyProtection="0"/>
    <xf numFmtId="174" fontId="4" fillId="0" borderId="0">
      <alignment/>
      <protection/>
    </xf>
    <xf numFmtId="174" fontId="5" fillId="27" borderId="0">
      <alignment/>
      <protection/>
    </xf>
    <xf numFmtId="0" fontId="6" fillId="0" borderId="0" applyNumberFormat="0" applyFill="0" applyBorder="0" applyAlignment="0" applyProtection="0"/>
    <xf numFmtId="0" fontId="7" fillId="28" borderId="0" applyNumberFormat="0" applyFont="0">
      <alignment horizontal="centerContinuous"/>
      <protection/>
    </xf>
    <xf numFmtId="0" fontId="7" fillId="28" borderId="0" applyNumberFormat="0" applyFont="0">
      <alignment horizontal="centerContinuous"/>
      <protection/>
    </xf>
    <xf numFmtId="0" fontId="7" fillId="28" borderId="0" applyNumberFormat="0" applyFont="0">
      <alignment horizontal="centerContinuous"/>
      <protection/>
    </xf>
    <xf numFmtId="0" fontId="0" fillId="29" borderId="3" applyBorder="0">
      <alignment/>
      <protection/>
    </xf>
    <xf numFmtId="40" fontId="8" fillId="30" borderId="4" applyNumberFormat="0" applyBorder="0">
      <alignment/>
      <protection/>
    </xf>
    <xf numFmtId="0" fontId="9" fillId="31" borderId="0">
      <alignment vertical="center" wrapText="1"/>
      <protection hidden="1"/>
    </xf>
    <xf numFmtId="0" fontId="10" fillId="32" borderId="0">
      <alignment/>
      <protection/>
    </xf>
    <xf numFmtId="0" fontId="11" fillId="0" borderId="0" applyFont="0" applyAlignment="0">
      <protection hidden="1"/>
    </xf>
    <xf numFmtId="0" fontId="12" fillId="0" borderId="0">
      <alignment horizontal="left" vertical="center" indent="1"/>
      <protection hidden="1"/>
    </xf>
    <xf numFmtId="174" fontId="13" fillId="33" borderId="5">
      <alignment horizontal="left" vertical="center" wrapText="1"/>
      <protection locked="0"/>
    </xf>
    <xf numFmtId="165" fontId="0"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0" fontId="0" fillId="34" borderId="0">
      <alignment horizontal="justify" vertical="center" wrapText="1"/>
      <protection hidden="1"/>
    </xf>
    <xf numFmtId="0" fontId="14" fillId="34" borderId="6">
      <alignment horizontal="left" wrapText="1"/>
      <protection hidden="1"/>
    </xf>
    <xf numFmtId="0" fontId="15" fillId="34" borderId="0">
      <alignment horizontal="left" vertical="top"/>
      <protection hidden="1"/>
    </xf>
    <xf numFmtId="0" fontId="16" fillId="35" borderId="0" applyNumberFormat="0" applyFont="0" applyBorder="0" applyAlignment="0" applyProtection="0"/>
    <xf numFmtId="0" fontId="17" fillId="36" borderId="7" applyNumberFormat="0" applyBorder="0">
      <alignment/>
      <protection/>
    </xf>
    <xf numFmtId="0" fontId="16" fillId="37" borderId="8">
      <alignment/>
      <protection/>
    </xf>
    <xf numFmtId="0" fontId="13" fillId="33" borderId="5">
      <alignment horizontal="left" vertical="center" wrapText="1"/>
      <protection locked="0"/>
    </xf>
    <xf numFmtId="185" fontId="13" fillId="33" borderId="5">
      <alignment horizontal="left" vertical="center" wrapText="1"/>
      <protection locked="0"/>
    </xf>
    <xf numFmtId="187" fontId="7" fillId="38" borderId="5">
      <alignment horizontal="left" vertical="center" wrapText="1"/>
      <protection hidden="1"/>
    </xf>
    <xf numFmtId="187" fontId="13" fillId="33" borderId="5">
      <alignment horizontal="left" vertical="center" wrapText="1"/>
      <protection locked="0"/>
    </xf>
    <xf numFmtId="188" fontId="13" fillId="33" borderId="5">
      <alignment horizontal="left" vertical="center" wrapText="1"/>
      <protection locked="0"/>
    </xf>
    <xf numFmtId="0" fontId="18" fillId="33" borderId="9" applyBorder="0">
      <alignment horizontal="left" vertical="center"/>
      <protection locked="0"/>
    </xf>
    <xf numFmtId="0" fontId="18" fillId="33" borderId="9">
      <alignment horizontal="left" vertical="center"/>
      <protection locked="0"/>
    </xf>
    <xf numFmtId="0" fontId="18" fillId="33" borderId="9">
      <alignment horizontal="left" vertical="center"/>
      <protection locked="0"/>
    </xf>
    <xf numFmtId="0" fontId="13" fillId="33" borderId="5">
      <alignment horizontal="left" vertical="center" wrapText="1"/>
      <protection hidden="1"/>
    </xf>
    <xf numFmtId="0" fontId="14" fillId="34" borderId="6" applyBorder="0" applyAlignment="0">
      <protection hidden="1"/>
    </xf>
    <xf numFmtId="0" fontId="13" fillId="33" borderId="5">
      <alignment horizontal="left" vertical="center" wrapText="1"/>
      <protection hidden="1"/>
    </xf>
    <xf numFmtId="0" fontId="7" fillId="34" borderId="0">
      <alignment horizontal="left" vertical="center" wrapText="1"/>
      <protection hidden="1"/>
    </xf>
    <xf numFmtId="0" fontId="12" fillId="34" borderId="0">
      <alignment horizontal="left" vertical="center" wrapText="1"/>
      <protection hidden="1"/>
    </xf>
    <xf numFmtId="0" fontId="19" fillId="39" borderId="0">
      <alignment horizontal="centerContinuous" vertical="center"/>
      <protection hidden="1"/>
    </xf>
    <xf numFmtId="0" fontId="4" fillId="0" borderId="0">
      <alignment/>
      <protection hidden="1"/>
    </xf>
    <xf numFmtId="40" fontId="20" fillId="40" borderId="0" applyNumberFormat="0" applyFont="0">
      <alignment horizontal="centerContinuous" vertical="center"/>
      <protection/>
    </xf>
    <xf numFmtId="0" fontId="134" fillId="41" borderId="2" applyNumberFormat="0" applyAlignment="0" applyProtection="0"/>
    <xf numFmtId="0" fontId="135" fillId="0" borderId="10" applyNumberFormat="0" applyFill="0" applyAlignment="0" applyProtection="0"/>
    <xf numFmtId="0" fontId="136" fillId="0" borderId="0" applyNumberFormat="0" applyFill="0" applyBorder="0" applyAlignment="0" applyProtection="0"/>
    <xf numFmtId="170" fontId="0" fillId="0" borderId="0" applyFont="0" applyFill="0" applyBorder="0" applyAlignment="0" applyProtection="0"/>
    <xf numFmtId="0" fontId="5" fillId="27" borderId="0">
      <alignment/>
      <protection/>
    </xf>
    <xf numFmtId="176" fontId="4" fillId="0" borderId="0">
      <alignment horizontal="left"/>
      <protection/>
    </xf>
    <xf numFmtId="177" fontId="4" fillId="0" borderId="0">
      <alignment horizontal="left"/>
      <protection/>
    </xf>
    <xf numFmtId="0" fontId="4" fillId="0" borderId="0">
      <alignment/>
      <protection/>
    </xf>
    <xf numFmtId="0" fontId="0" fillId="42" borderId="0">
      <alignment/>
      <protection/>
    </xf>
    <xf numFmtId="0" fontId="0" fillId="29" borderId="0">
      <alignment/>
      <protection/>
    </xf>
    <xf numFmtId="0" fontId="137" fillId="43" borderId="0" applyNumberFormat="0" applyBorder="0" applyAlignment="0" applyProtection="0"/>
    <xf numFmtId="166" fontId="0" fillId="0" borderId="0" applyFont="0" applyFill="0" applyBorder="0" applyAlignment="0" applyProtection="0"/>
    <xf numFmtId="0" fontId="16" fillId="31" borderId="0">
      <alignment/>
      <protection/>
    </xf>
    <xf numFmtId="0" fontId="21" fillId="0" borderId="0" applyNumberFormat="0" applyFill="0" applyBorder="0" applyAlignment="0" applyProtection="0"/>
    <xf numFmtId="0" fontId="16" fillId="44" borderId="11">
      <alignment/>
      <protection/>
    </xf>
    <xf numFmtId="0" fontId="16" fillId="45" borderId="11">
      <alignment/>
      <protection/>
    </xf>
    <xf numFmtId="0" fontId="16" fillId="46" borderId="0">
      <alignment/>
      <protection/>
    </xf>
    <xf numFmtId="0" fontId="17" fillId="47" borderId="12">
      <alignment/>
      <protection/>
    </xf>
    <xf numFmtId="0" fontId="22" fillId="48" borderId="11">
      <alignment/>
      <protection/>
    </xf>
    <xf numFmtId="0" fontId="16" fillId="49" borderId="13">
      <alignment/>
      <protection/>
    </xf>
    <xf numFmtId="0" fontId="16" fillId="50" borderId="0" applyNumberFormat="0" applyFont="0" applyBorder="0">
      <alignment/>
      <protection/>
    </xf>
    <xf numFmtId="0" fontId="23" fillId="42" borderId="0">
      <alignment/>
      <protection/>
    </xf>
    <xf numFmtId="0" fontId="24" fillId="51" borderId="0">
      <alignment/>
      <protection/>
    </xf>
    <xf numFmtId="0" fontId="138" fillId="52" borderId="0" applyNumberFormat="0" applyBorder="0" applyAlignment="0" applyProtection="0"/>
    <xf numFmtId="0" fontId="0" fillId="53" borderId="14" applyNumberFormat="0" applyFont="0" applyAlignment="0" applyProtection="0"/>
    <xf numFmtId="9" fontId="0" fillId="0" borderId="0" applyFont="0" applyFill="0" applyBorder="0" applyAlignment="0" applyProtection="0"/>
    <xf numFmtId="0" fontId="16" fillId="54" borderId="0">
      <alignment/>
      <protection/>
    </xf>
    <xf numFmtId="0" fontId="139" fillId="55" borderId="0" applyNumberFormat="0" applyBorder="0" applyAlignment="0" applyProtection="0"/>
    <xf numFmtId="0" fontId="16" fillId="56" borderId="0" applyNumberFormat="0" applyFont="0" applyBorder="0" applyAlignment="0" applyProtection="0"/>
    <xf numFmtId="0" fontId="16" fillId="56" borderId="0">
      <alignment/>
      <protection/>
    </xf>
    <xf numFmtId="0" fontId="16" fillId="35" borderId="0">
      <alignment/>
      <protection/>
    </xf>
    <xf numFmtId="0" fontId="0" fillId="0" borderId="0">
      <alignment/>
      <protection/>
    </xf>
    <xf numFmtId="0" fontId="4" fillId="0" borderId="0">
      <alignment/>
      <protection/>
    </xf>
    <xf numFmtId="0" fontId="0" fillId="0" borderId="0">
      <alignment/>
      <protection/>
    </xf>
    <xf numFmtId="0" fontId="107" fillId="0" borderId="0">
      <alignment/>
      <protection/>
    </xf>
    <xf numFmtId="0" fontId="4" fillId="0" borderId="0">
      <alignment/>
      <protection/>
    </xf>
    <xf numFmtId="0" fontId="16" fillId="28" borderId="0" applyNumberFormat="0" applyFont="0" applyBorder="0" applyAlignment="0" applyProtection="0"/>
    <xf numFmtId="0" fontId="25" fillId="57" borderId="15">
      <alignment/>
      <protection/>
    </xf>
    <xf numFmtId="0" fontId="140" fillId="0" borderId="16" applyNumberFormat="0" applyFill="0" applyAlignment="0" applyProtection="0"/>
    <xf numFmtId="0" fontId="141" fillId="0" borderId="17" applyNumberFormat="0" applyFill="0" applyAlignment="0" applyProtection="0"/>
    <xf numFmtId="0" fontId="142" fillId="0" borderId="18" applyNumberFormat="0" applyFill="0" applyAlignment="0" applyProtection="0"/>
    <xf numFmtId="0" fontId="142" fillId="0" borderId="0" applyNumberFormat="0" applyFill="0" applyBorder="0" applyAlignment="0" applyProtection="0"/>
    <xf numFmtId="0" fontId="143" fillId="0" borderId="19" applyNumberFormat="0" applyFill="0" applyAlignment="0" applyProtection="0"/>
    <xf numFmtId="4" fontId="26" fillId="0" borderId="0" applyFill="0" applyAlignment="0" applyProtection="0"/>
    <xf numFmtId="164" fontId="0" fillId="0" borderId="0" applyFont="0" applyFill="0" applyBorder="0" applyAlignment="0" applyProtection="0"/>
    <xf numFmtId="0" fontId="144" fillId="0" borderId="0" applyNumberFormat="0" applyFill="0" applyBorder="0" applyAlignment="0" applyProtection="0"/>
    <xf numFmtId="0" fontId="16" fillId="35" borderId="0">
      <alignment/>
      <protection/>
    </xf>
    <xf numFmtId="40" fontId="8" fillId="30" borderId="0" applyBorder="0">
      <alignment/>
      <protection/>
    </xf>
    <xf numFmtId="0" fontId="145" fillId="58" borderId="20" applyNumberFormat="0" applyAlignment="0" applyProtection="0"/>
  </cellStyleXfs>
  <cellXfs count="1194">
    <xf numFmtId="0" fontId="0" fillId="0" borderId="0" xfId="0" applyAlignment="1">
      <alignment/>
    </xf>
    <xf numFmtId="0" fontId="0" fillId="0" borderId="0" xfId="0" applyAlignment="1" applyProtection="1">
      <alignment/>
      <protection hidden="1"/>
    </xf>
    <xf numFmtId="0" fontId="0" fillId="0" borderId="21" xfId="0" applyBorder="1" applyAlignment="1" applyProtection="1">
      <alignment/>
      <protection hidden="1"/>
    </xf>
    <xf numFmtId="0" fontId="7" fillId="0" borderId="0" xfId="0" applyFont="1" applyAlignment="1" applyProtection="1">
      <alignment/>
      <protection hidden="1"/>
    </xf>
    <xf numFmtId="0" fontId="7" fillId="0" borderId="0" xfId="0" applyFont="1" applyFill="1" applyAlignment="1" applyProtection="1">
      <alignment/>
      <protection hidden="1"/>
    </xf>
    <xf numFmtId="0" fontId="28" fillId="0" borderId="0" xfId="0" applyFont="1" applyFill="1" applyAlignment="1" applyProtection="1">
      <alignment/>
      <protection hidden="1"/>
    </xf>
    <xf numFmtId="0" fontId="0" fillId="0" borderId="0" xfId="0" applyFill="1" applyAlignment="1" applyProtection="1">
      <alignment/>
      <protection hidden="1"/>
    </xf>
    <xf numFmtId="0" fontId="29"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0" fillId="50" borderId="21" xfId="0" applyFill="1" applyBorder="1" applyAlignment="1" applyProtection="1">
      <alignment/>
      <protection hidden="1"/>
    </xf>
    <xf numFmtId="0" fontId="30" fillId="34" borderId="0" xfId="0" applyFont="1" applyFill="1" applyAlignment="1" applyProtection="1">
      <alignment vertical="center"/>
      <protection hidden="1"/>
    </xf>
    <xf numFmtId="0" fontId="4" fillId="34" borderId="0" xfId="0" applyFont="1" applyFill="1" applyAlignment="1" applyProtection="1">
      <alignment vertical="center"/>
      <protection hidden="1"/>
    </xf>
    <xf numFmtId="0" fontId="0" fillId="34" borderId="0" xfId="0" applyFill="1" applyAlignment="1" applyProtection="1">
      <alignment vertical="center"/>
      <protection hidden="1"/>
    </xf>
    <xf numFmtId="0" fontId="12" fillId="34" borderId="0" xfId="0" applyFont="1" applyFill="1" applyAlignment="1" applyProtection="1">
      <alignment horizontal="center" vertical="center"/>
      <protection hidden="1"/>
    </xf>
    <xf numFmtId="0" fontId="12" fillId="34" borderId="0" xfId="0" applyFont="1" applyFill="1" applyAlignment="1" applyProtection="1">
      <alignment horizontal="center" vertical="center" wrapText="1"/>
      <protection hidden="1"/>
    </xf>
    <xf numFmtId="0" fontId="13" fillId="34" borderId="0" xfId="0" applyFont="1" applyFill="1" applyAlignment="1" applyProtection="1" quotePrefix="1">
      <alignment horizontal="center" vertical="center"/>
      <protection hidden="1"/>
    </xf>
    <xf numFmtId="0" fontId="11" fillId="34" borderId="0" xfId="0" applyFont="1" applyFill="1" applyAlignment="1" applyProtection="1">
      <alignment horizontal="centerContinuous" vertical="center"/>
      <protection hidden="1"/>
    </xf>
    <xf numFmtId="0" fontId="1" fillId="0" borderId="0" xfId="0" applyFont="1" applyAlignment="1" applyProtection="1">
      <alignment/>
      <protection hidden="1"/>
    </xf>
    <xf numFmtId="0" fontId="0" fillId="0" borderId="0" xfId="0" applyFont="1" applyAlignment="1" applyProtection="1">
      <alignment/>
      <protection hidden="1"/>
    </xf>
    <xf numFmtId="0" fontId="7" fillId="38" borderId="0" xfId="0" applyFont="1" applyFill="1" applyAlignment="1" applyProtection="1">
      <alignment/>
      <protection hidden="1"/>
    </xf>
    <xf numFmtId="0" fontId="32" fillId="0" borderId="0" xfId="0" applyFont="1" applyAlignment="1" applyProtection="1">
      <alignment/>
      <protection hidden="1"/>
    </xf>
    <xf numFmtId="0" fontId="29" fillId="51" borderId="0" xfId="0" applyFont="1" applyFill="1" applyAlignment="1" applyProtection="1">
      <alignment/>
      <protection hidden="1"/>
    </xf>
    <xf numFmtId="0" fontId="0" fillId="51" borderId="0" xfId="0" applyFill="1" applyAlignment="1" applyProtection="1">
      <alignment/>
      <protection hidden="1"/>
    </xf>
    <xf numFmtId="0" fontId="0" fillId="51" borderId="0" xfId="0" applyFont="1" applyFill="1" applyAlignment="1" applyProtection="1">
      <alignment horizontal="center"/>
      <protection hidden="1"/>
    </xf>
    <xf numFmtId="0" fontId="0" fillId="51" borderId="0" xfId="0" applyFill="1" applyAlignment="1" applyProtection="1">
      <alignment horizontal="center"/>
      <protection hidden="1"/>
    </xf>
    <xf numFmtId="3" fontId="7" fillId="0" borderId="0" xfId="0" applyNumberFormat="1" applyFont="1" applyAlignment="1" applyProtection="1">
      <alignment/>
      <protection hidden="1"/>
    </xf>
    <xf numFmtId="4" fontId="7" fillId="38" borderId="21" xfId="0" applyNumberFormat="1" applyFont="1" applyFill="1" applyBorder="1" applyAlignment="1" applyProtection="1">
      <alignment/>
      <protection hidden="1"/>
    </xf>
    <xf numFmtId="4" fontId="7" fillId="0" borderId="0" xfId="0" applyNumberFormat="1" applyFont="1" applyFill="1" applyBorder="1" applyAlignment="1" applyProtection="1">
      <alignment/>
      <protection hidden="1"/>
    </xf>
    <xf numFmtId="4" fontId="32" fillId="0" borderId="21" xfId="0" applyNumberFormat="1" applyFont="1" applyBorder="1" applyAlignment="1" applyProtection="1">
      <alignment/>
      <protection hidden="1"/>
    </xf>
    <xf numFmtId="0" fontId="29" fillId="51" borderId="0" xfId="0" applyFont="1" applyFill="1" applyAlignment="1" applyProtection="1">
      <alignment horizontal="center"/>
      <protection hidden="1"/>
    </xf>
    <xf numFmtId="0" fontId="29" fillId="51" borderId="22" xfId="0" applyNumberFormat="1" applyFont="1" applyFill="1" applyBorder="1" applyAlignment="1" applyProtection="1">
      <alignment horizontal="center"/>
      <protection hidden="1"/>
    </xf>
    <xf numFmtId="4" fontId="7" fillId="50" borderId="21" xfId="0" applyNumberFormat="1" applyFont="1" applyFill="1" applyBorder="1" applyAlignment="1" applyProtection="1">
      <alignment/>
      <protection hidden="1"/>
    </xf>
    <xf numFmtId="4" fontId="7" fillId="59" borderId="0" xfId="0" applyNumberFormat="1" applyFont="1" applyFill="1" applyBorder="1" applyAlignment="1" applyProtection="1">
      <alignment/>
      <protection hidden="1"/>
    </xf>
    <xf numFmtId="4" fontId="32" fillId="50" borderId="21" xfId="0" applyNumberFormat="1" applyFont="1" applyFill="1" applyBorder="1" applyAlignment="1" applyProtection="1">
      <alignment/>
      <protection hidden="1"/>
    </xf>
    <xf numFmtId="4" fontId="7" fillId="38" borderId="0" xfId="0" applyNumberFormat="1" applyFont="1" applyFill="1" applyBorder="1" applyAlignment="1" applyProtection="1">
      <alignment/>
      <protection hidden="1"/>
    </xf>
    <xf numFmtId="4" fontId="32" fillId="0" borderId="0" xfId="0" applyNumberFormat="1" applyFont="1" applyBorder="1" applyAlignment="1" applyProtection="1">
      <alignment/>
      <protection hidden="1"/>
    </xf>
    <xf numFmtId="0" fontId="7" fillId="0" borderId="0" xfId="0" applyFont="1" applyAlignment="1" applyProtection="1">
      <alignment/>
      <protection hidden="1"/>
    </xf>
    <xf numFmtId="3" fontId="1" fillId="0" borderId="0" xfId="0" applyNumberFormat="1" applyFont="1" applyAlignment="1" applyProtection="1">
      <alignment/>
      <protection hidden="1"/>
    </xf>
    <xf numFmtId="0" fontId="33" fillId="0" borderId="0" xfId="0" applyFont="1" applyAlignment="1" applyProtection="1">
      <alignment horizontal="center" vertical="center"/>
      <protection hidden="1"/>
    </xf>
    <xf numFmtId="4" fontId="1" fillId="0" borderId="21" xfId="0" applyNumberFormat="1" applyFont="1" applyBorder="1" applyAlignment="1" applyProtection="1">
      <alignment/>
      <protection hidden="1"/>
    </xf>
    <xf numFmtId="4" fontId="1" fillId="50" borderId="21" xfId="0" applyNumberFormat="1" applyFont="1" applyFill="1" applyBorder="1" applyAlignment="1" applyProtection="1">
      <alignment/>
      <protection hidden="1"/>
    </xf>
    <xf numFmtId="4" fontId="1" fillId="0" borderId="0" xfId="0" applyNumberFormat="1" applyFont="1" applyBorder="1" applyAlignment="1" applyProtection="1">
      <alignment/>
      <protection hidden="1"/>
    </xf>
    <xf numFmtId="0" fontId="33" fillId="0" borderId="0" xfId="0" applyFont="1" applyAlignment="1" applyProtection="1">
      <alignment/>
      <protection hidden="1"/>
    </xf>
    <xf numFmtId="0" fontId="1" fillId="0" borderId="0" xfId="113" applyFont="1" applyProtection="1">
      <alignment/>
      <protection hidden="1"/>
    </xf>
    <xf numFmtId="0" fontId="33" fillId="0" borderId="0" xfId="113" applyFont="1" applyProtection="1">
      <alignment/>
      <protection hidden="1"/>
    </xf>
    <xf numFmtId="0" fontId="7" fillId="38" borderId="0" xfId="113" applyFont="1" applyFill="1" applyProtection="1">
      <alignment/>
      <protection hidden="1"/>
    </xf>
    <xf numFmtId="0" fontId="0" fillId="0" borderId="0" xfId="113" applyProtection="1">
      <alignment/>
      <protection hidden="1"/>
    </xf>
    <xf numFmtId="0" fontId="32" fillId="0" borderId="0" xfId="113" applyFont="1" applyProtection="1">
      <alignment/>
      <protection hidden="1"/>
    </xf>
    <xf numFmtId="0" fontId="29" fillId="51" borderId="0" xfId="113" applyFont="1" applyFill="1" applyProtection="1">
      <alignment/>
      <protection hidden="1"/>
    </xf>
    <xf numFmtId="3" fontId="7" fillId="0" borderId="0" xfId="113" applyNumberFormat="1" applyFont="1" applyProtection="1">
      <alignment/>
      <protection hidden="1"/>
    </xf>
    <xf numFmtId="4" fontId="7" fillId="38" borderId="21" xfId="113" applyNumberFormat="1" applyFont="1" applyFill="1" applyBorder="1" applyProtection="1">
      <alignment/>
      <protection hidden="1"/>
    </xf>
    <xf numFmtId="4" fontId="7" fillId="0" borderId="0" xfId="113" applyNumberFormat="1" applyFont="1" applyFill="1" applyBorder="1" applyProtection="1">
      <alignment/>
      <protection hidden="1"/>
    </xf>
    <xf numFmtId="4" fontId="32" fillId="0" borderId="21" xfId="113" applyNumberFormat="1" applyFont="1" applyBorder="1" applyProtection="1">
      <alignment/>
      <protection hidden="1"/>
    </xf>
    <xf numFmtId="0" fontId="29" fillId="51" borderId="0" xfId="113" applyFont="1" applyFill="1" applyAlignment="1" applyProtection="1">
      <alignment horizontal="center"/>
      <protection hidden="1"/>
    </xf>
    <xf numFmtId="3" fontId="12" fillId="0" borderId="0" xfId="113" applyNumberFormat="1" applyFont="1" applyProtection="1">
      <alignment/>
      <protection hidden="1"/>
    </xf>
    <xf numFmtId="4" fontId="7" fillId="50" borderId="21" xfId="113" applyNumberFormat="1" applyFont="1" applyFill="1" applyBorder="1" applyProtection="1">
      <alignment/>
      <protection hidden="1"/>
    </xf>
    <xf numFmtId="4" fontId="7" fillId="59" borderId="0" xfId="113" applyNumberFormat="1" applyFont="1" applyFill="1" applyBorder="1" applyProtection="1">
      <alignment/>
      <protection hidden="1"/>
    </xf>
    <xf numFmtId="4" fontId="32" fillId="50" borderId="21" xfId="113" applyNumberFormat="1" applyFont="1" applyFill="1" applyBorder="1" applyProtection="1">
      <alignment/>
      <protection hidden="1"/>
    </xf>
    <xf numFmtId="0" fontId="0" fillId="0" borderId="0" xfId="113" applyFont="1" applyProtection="1">
      <alignment/>
      <protection hidden="1"/>
    </xf>
    <xf numFmtId="195" fontId="7" fillId="50" borderId="21" xfId="113" applyNumberFormat="1" applyFont="1" applyFill="1" applyBorder="1" applyProtection="1">
      <alignment/>
      <protection hidden="1"/>
    </xf>
    <xf numFmtId="195" fontId="7" fillId="59" borderId="0" xfId="113" applyNumberFormat="1" applyFont="1" applyFill="1" applyBorder="1" applyProtection="1">
      <alignment/>
      <protection hidden="1"/>
    </xf>
    <xf numFmtId="195" fontId="32" fillId="50" borderId="21" xfId="113" applyNumberFormat="1" applyFont="1" applyFill="1" applyBorder="1" applyProtection="1">
      <alignment/>
      <protection hidden="1"/>
    </xf>
    <xf numFmtId="0" fontId="1" fillId="0" borderId="0" xfId="112" applyFont="1" applyProtection="1">
      <alignment/>
      <protection hidden="1"/>
    </xf>
    <xf numFmtId="0" fontId="0" fillId="0" borderId="0" xfId="112" applyFont="1" applyProtection="1">
      <alignment/>
      <protection hidden="1"/>
    </xf>
    <xf numFmtId="0" fontId="7" fillId="38" borderId="0" xfId="112" applyFont="1" applyFill="1" applyProtection="1">
      <alignment/>
      <protection hidden="1"/>
    </xf>
    <xf numFmtId="0" fontId="4" fillId="0" borderId="0" xfId="112" applyProtection="1">
      <alignment/>
      <protection hidden="1"/>
    </xf>
    <xf numFmtId="0" fontId="32" fillId="0" borderId="0" xfId="112" applyFont="1" applyProtection="1">
      <alignment/>
      <protection hidden="1"/>
    </xf>
    <xf numFmtId="0" fontId="29" fillId="51" borderId="0" xfId="112" applyFont="1" applyFill="1" applyProtection="1">
      <alignment/>
      <protection hidden="1"/>
    </xf>
    <xf numFmtId="4" fontId="7" fillId="38" borderId="21" xfId="112" applyNumberFormat="1" applyFont="1" applyFill="1" applyBorder="1" applyProtection="1">
      <alignment/>
      <protection hidden="1"/>
    </xf>
    <xf numFmtId="4" fontId="7" fillId="0" borderId="0" xfId="112" applyNumberFormat="1" applyFont="1" applyFill="1" applyBorder="1" applyProtection="1">
      <alignment/>
      <protection hidden="1"/>
    </xf>
    <xf numFmtId="4" fontId="32" fillId="0" borderId="21" xfId="112" applyNumberFormat="1" applyFont="1" applyBorder="1" applyProtection="1">
      <alignment/>
      <protection hidden="1"/>
    </xf>
    <xf numFmtId="0" fontId="29" fillId="51" borderId="0" xfId="112" applyFont="1" applyFill="1" applyAlignment="1" applyProtection="1">
      <alignment horizontal="center"/>
      <protection hidden="1"/>
    </xf>
    <xf numFmtId="4" fontId="7" fillId="50" borderId="21" xfId="112" applyNumberFormat="1" applyFont="1" applyFill="1" applyBorder="1" applyProtection="1">
      <alignment/>
      <protection hidden="1"/>
    </xf>
    <xf numFmtId="4" fontId="7" fillId="59" borderId="0" xfId="112" applyNumberFormat="1" applyFont="1" applyFill="1" applyBorder="1" applyProtection="1">
      <alignment/>
      <protection hidden="1"/>
    </xf>
    <xf numFmtId="4" fontId="32" fillId="50" borderId="21" xfId="112" applyNumberFormat="1" applyFont="1" applyFill="1" applyBorder="1" applyProtection="1">
      <alignment/>
      <protection hidden="1"/>
    </xf>
    <xf numFmtId="0" fontId="28" fillId="0" borderId="0" xfId="112" applyFont="1" applyProtection="1">
      <alignment/>
      <protection hidden="1"/>
    </xf>
    <xf numFmtId="0" fontId="1" fillId="0" borderId="0" xfId="115" applyFont="1" applyProtection="1">
      <alignment/>
      <protection hidden="1"/>
    </xf>
    <xf numFmtId="0" fontId="0" fillId="0" borderId="0" xfId="115" applyFont="1" applyProtection="1">
      <alignment/>
      <protection hidden="1"/>
    </xf>
    <xf numFmtId="0" fontId="7" fillId="38" borderId="0" xfId="115" applyFont="1" applyFill="1" applyProtection="1">
      <alignment/>
      <protection hidden="1"/>
    </xf>
    <xf numFmtId="0" fontId="4" fillId="0" borderId="0" xfId="115" applyProtection="1">
      <alignment/>
      <protection hidden="1"/>
    </xf>
    <xf numFmtId="0" fontId="32" fillId="0" borderId="0" xfId="115" applyFont="1" applyProtection="1">
      <alignment/>
      <protection hidden="1"/>
    </xf>
    <xf numFmtId="0" fontId="29" fillId="51" borderId="0" xfId="115" applyFont="1" applyFill="1" applyProtection="1">
      <alignment/>
      <protection hidden="1"/>
    </xf>
    <xf numFmtId="3" fontId="7" fillId="0" borderId="0" xfId="115" applyNumberFormat="1" applyFont="1" applyProtection="1">
      <alignment/>
      <protection hidden="1"/>
    </xf>
    <xf numFmtId="4" fontId="7" fillId="38" borderId="21" xfId="115" applyNumberFormat="1" applyFont="1" applyFill="1" applyBorder="1" applyProtection="1">
      <alignment/>
      <protection hidden="1"/>
    </xf>
    <xf numFmtId="4" fontId="7" fillId="0" borderId="0" xfId="115" applyNumberFormat="1" applyFont="1" applyFill="1" applyBorder="1" applyProtection="1">
      <alignment/>
      <protection hidden="1"/>
    </xf>
    <xf numFmtId="4" fontId="32" fillId="0" borderId="21" xfId="115" applyNumberFormat="1" applyFont="1" applyBorder="1" applyProtection="1">
      <alignment/>
      <protection hidden="1"/>
    </xf>
    <xf numFmtId="0" fontId="29" fillId="51" borderId="0" xfId="115" applyFont="1" applyFill="1" applyAlignment="1" applyProtection="1">
      <alignment horizontal="center"/>
      <protection hidden="1"/>
    </xf>
    <xf numFmtId="0" fontId="7" fillId="0" borderId="0" xfId="115" applyFont="1" applyProtection="1">
      <alignment/>
      <protection hidden="1"/>
    </xf>
    <xf numFmtId="4" fontId="7" fillId="50" borderId="21" xfId="115" applyNumberFormat="1" applyFont="1" applyFill="1" applyBorder="1" applyProtection="1">
      <alignment/>
      <protection hidden="1"/>
    </xf>
    <xf numFmtId="4" fontId="7" fillId="59" borderId="0" xfId="115" applyNumberFormat="1" applyFont="1" applyFill="1" applyBorder="1" applyProtection="1">
      <alignment/>
      <protection hidden="1"/>
    </xf>
    <xf numFmtId="4" fontId="32" fillId="50" borderId="21" xfId="115" applyNumberFormat="1" applyFont="1" applyFill="1" applyBorder="1" applyProtection="1">
      <alignment/>
      <protection hidden="1"/>
    </xf>
    <xf numFmtId="0" fontId="12" fillId="0" borderId="0" xfId="115" applyFont="1" applyProtection="1">
      <alignment/>
      <protection hidden="1"/>
    </xf>
    <xf numFmtId="0" fontId="12" fillId="0" borderId="0" xfId="0" applyFont="1" applyAlignment="1" applyProtection="1">
      <alignment/>
      <protection hidden="1"/>
    </xf>
    <xf numFmtId="0" fontId="33" fillId="0" borderId="0" xfId="0" applyFont="1" applyAlignment="1" applyProtection="1">
      <alignment vertical="center"/>
      <protection hidden="1"/>
    </xf>
    <xf numFmtId="4" fontId="28" fillId="38" borderId="21" xfId="0" applyNumberFormat="1" applyFont="1" applyFill="1" applyBorder="1" applyAlignment="1" applyProtection="1">
      <alignment/>
      <protection hidden="1"/>
    </xf>
    <xf numFmtId="3" fontId="34" fillId="0" borderId="0" xfId="0" applyNumberFormat="1" applyFont="1" applyAlignment="1" applyProtection="1">
      <alignment/>
      <protection hidden="1"/>
    </xf>
    <xf numFmtId="4" fontId="28" fillId="0" borderId="21" xfId="0" applyNumberFormat="1" applyFont="1" applyFill="1" applyBorder="1" applyAlignment="1" applyProtection="1">
      <alignment/>
      <protection hidden="1"/>
    </xf>
    <xf numFmtId="4" fontId="28" fillId="50" borderId="21" xfId="0" applyNumberFormat="1" applyFont="1" applyFill="1" applyBorder="1" applyAlignment="1" applyProtection="1">
      <alignment/>
      <protection hidden="1"/>
    </xf>
    <xf numFmtId="3" fontId="7" fillId="0" borderId="0" xfId="0" applyNumberFormat="1" applyFont="1" applyAlignment="1" applyProtection="1">
      <alignment/>
      <protection hidden="1"/>
    </xf>
    <xf numFmtId="3" fontId="12" fillId="0" borderId="0" xfId="0" applyNumberFormat="1" applyFont="1" applyAlignment="1" applyProtection="1">
      <alignment/>
      <protection hidden="1"/>
    </xf>
    <xf numFmtId="4" fontId="7" fillId="50" borderId="0" xfId="0" applyNumberFormat="1" applyFont="1" applyFill="1" applyBorder="1" applyAlignment="1" applyProtection="1">
      <alignment/>
      <protection hidden="1"/>
    </xf>
    <xf numFmtId="0" fontId="29" fillId="51" borderId="0" xfId="0" applyNumberFormat="1" applyFont="1" applyFill="1" applyBorder="1" applyAlignment="1" applyProtection="1">
      <alignment horizontal="center"/>
      <protection hidden="1"/>
    </xf>
    <xf numFmtId="0" fontId="10" fillId="59" borderId="0" xfId="0" applyFont="1" applyFill="1" applyAlignment="1" applyProtection="1">
      <alignment vertical="top"/>
      <protection hidden="1"/>
    </xf>
    <xf numFmtId="0" fontId="10" fillId="59" borderId="0" xfId="0" applyFont="1" applyFill="1" applyAlignment="1" applyProtection="1">
      <alignment wrapText="1"/>
      <protection hidden="1"/>
    </xf>
    <xf numFmtId="167" fontId="10" fillId="59" borderId="0" xfId="0" applyNumberFormat="1" applyFont="1" applyFill="1" applyAlignment="1" applyProtection="1">
      <alignment horizontal="left" wrapText="1"/>
      <protection hidden="1"/>
    </xf>
    <xf numFmtId="167" fontId="10" fillId="59" borderId="0" xfId="0" applyNumberFormat="1" applyFont="1" applyFill="1" applyAlignment="1" applyProtection="1">
      <alignment horizontal="right" wrapText="1"/>
      <protection hidden="1"/>
    </xf>
    <xf numFmtId="0" fontId="0" fillId="59" borderId="0" xfId="0" applyFont="1" applyFill="1" applyAlignment="1" applyProtection="1">
      <alignment horizontal="center"/>
      <protection hidden="1"/>
    </xf>
    <xf numFmtId="0" fontId="0" fillId="59" borderId="22" xfId="0" applyFill="1" applyBorder="1" applyAlignment="1" applyProtection="1">
      <alignment/>
      <protection hidden="1"/>
    </xf>
    <xf numFmtId="0" fontId="7" fillId="59" borderId="22" xfId="0" applyFont="1" applyFill="1" applyBorder="1" applyAlignment="1" applyProtection="1">
      <alignment/>
      <protection hidden="1"/>
    </xf>
    <xf numFmtId="0" fontId="28" fillId="59" borderId="22" xfId="0" applyFont="1" applyFill="1" applyBorder="1" applyAlignment="1" applyProtection="1">
      <alignment/>
      <protection hidden="1"/>
    </xf>
    <xf numFmtId="0" fontId="29" fillId="59" borderId="22" xfId="0" applyFont="1" applyFill="1" applyBorder="1" applyAlignment="1" applyProtection="1">
      <alignment/>
      <protection hidden="1"/>
    </xf>
    <xf numFmtId="0" fontId="28" fillId="0" borderId="0" xfId="0" applyFont="1" applyAlignment="1" applyProtection="1">
      <alignment/>
      <protection hidden="1"/>
    </xf>
    <xf numFmtId="0" fontId="35" fillId="34" borderId="0" xfId="0" applyFont="1" applyFill="1" applyAlignment="1" applyProtection="1">
      <alignment/>
      <protection hidden="1"/>
    </xf>
    <xf numFmtId="0" fontId="0" fillId="34" borderId="0" xfId="0" applyFill="1" applyAlignment="1" applyProtection="1">
      <alignment/>
      <protection hidden="1"/>
    </xf>
    <xf numFmtId="179" fontId="0" fillId="34" borderId="0" xfId="0" applyNumberFormat="1" applyFill="1" applyAlignment="1" applyProtection="1">
      <alignment horizontal="left"/>
      <protection hidden="1"/>
    </xf>
    <xf numFmtId="179" fontId="0" fillId="0" borderId="0" xfId="0" applyNumberFormat="1" applyAlignment="1" applyProtection="1">
      <alignment horizontal="left"/>
      <protection hidden="1"/>
    </xf>
    <xf numFmtId="9" fontId="0" fillId="0" borderId="0" xfId="0" applyNumberFormat="1" applyAlignment="1" applyProtection="1">
      <alignment/>
      <protection hidden="1"/>
    </xf>
    <xf numFmtId="180" fontId="0" fillId="0" borderId="0" xfId="113" applyNumberFormat="1" applyFont="1" applyProtection="1">
      <alignment/>
      <protection hidden="1"/>
    </xf>
    <xf numFmtId="1" fontId="0" fillId="0" borderId="0" xfId="0" applyNumberFormat="1" applyFont="1" applyAlignment="1" applyProtection="1">
      <alignment horizontal="left"/>
      <protection hidden="1"/>
    </xf>
    <xf numFmtId="0" fontId="36" fillId="0" borderId="0" xfId="113" applyFont="1" applyAlignment="1" applyProtection="1">
      <alignment horizontal="center"/>
      <protection hidden="1"/>
    </xf>
    <xf numFmtId="1" fontId="0" fillId="0" borderId="0" xfId="113" applyNumberFormat="1" applyFont="1" applyProtection="1">
      <alignment/>
      <protection hidden="1"/>
    </xf>
    <xf numFmtId="0" fontId="7" fillId="0" borderId="0" xfId="113" applyFont="1" applyProtection="1">
      <alignment/>
      <protection hidden="1"/>
    </xf>
    <xf numFmtId="0" fontId="0" fillId="0" borderId="0" xfId="0" applyAlignment="1" applyProtection="1">
      <alignment horizontal="center"/>
      <protection hidden="1"/>
    </xf>
    <xf numFmtId="0" fontId="0" fillId="0" borderId="0" xfId="0" applyFont="1" applyAlignment="1" applyProtection="1">
      <alignment horizontal="left"/>
      <protection hidden="1"/>
    </xf>
    <xf numFmtId="0" fontId="37" fillId="0" borderId="0" xfId="0" applyFont="1" applyAlignment="1" applyProtection="1">
      <alignment/>
      <protection hidden="1"/>
    </xf>
    <xf numFmtId="180" fontId="0" fillId="0" borderId="0" xfId="0" applyNumberFormat="1" applyFont="1" applyAlignment="1" applyProtection="1">
      <alignment/>
      <protection hidden="1"/>
    </xf>
    <xf numFmtId="0" fontId="26" fillId="0" borderId="0" xfId="0" applyFont="1" applyAlignment="1" applyProtection="1">
      <alignment/>
      <protection hidden="1"/>
    </xf>
    <xf numFmtId="0" fontId="38" fillId="0" borderId="0" xfId="0" applyFont="1" applyAlignment="1" applyProtection="1">
      <alignment/>
      <protection hidden="1"/>
    </xf>
    <xf numFmtId="0" fontId="28" fillId="34" borderId="0" xfId="0" applyFont="1" applyFill="1" applyAlignment="1" applyProtection="1">
      <alignment/>
      <protection hidden="1"/>
    </xf>
    <xf numFmtId="0" fontId="19" fillId="60" borderId="0" xfId="0" applyFont="1" applyFill="1" applyBorder="1" applyAlignment="1" applyProtection="1">
      <alignment vertical="center" wrapText="1"/>
      <protection hidden="1"/>
    </xf>
    <xf numFmtId="0" fontId="7" fillId="60" borderId="0" xfId="0" applyFont="1" applyFill="1" applyBorder="1" applyAlignment="1" applyProtection="1">
      <alignment vertical="center"/>
      <protection hidden="1"/>
    </xf>
    <xf numFmtId="0" fontId="41"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0" xfId="0" applyFont="1" applyFill="1" applyBorder="1" applyAlignment="1" applyProtection="1">
      <alignment vertical="center"/>
      <protection locked="0"/>
    </xf>
    <xf numFmtId="4" fontId="42" fillId="0" borderId="23" xfId="0" applyNumberFormat="1" applyFont="1" applyFill="1" applyBorder="1" applyAlignment="1" applyProtection="1">
      <alignment/>
      <protection locked="0"/>
    </xf>
    <xf numFmtId="0" fontId="13" fillId="0" borderId="22" xfId="0" applyFont="1" applyBorder="1" applyAlignment="1" applyProtection="1">
      <alignment horizontal="center" vertical="center"/>
      <protection hidden="1"/>
    </xf>
    <xf numFmtId="0" fontId="43" fillId="0" borderId="0" xfId="0" applyFont="1" applyAlignment="1" applyProtection="1">
      <alignment/>
      <protection hidden="1"/>
    </xf>
    <xf numFmtId="0" fontId="7" fillId="0" borderId="0" xfId="0" applyFont="1" applyFill="1" applyAlignment="1" applyProtection="1">
      <alignment/>
      <protection hidden="1"/>
    </xf>
    <xf numFmtId="0" fontId="7" fillId="0" borderId="0" xfId="0" applyFont="1" applyBorder="1" applyAlignment="1" applyProtection="1">
      <alignment wrapText="1"/>
      <protection hidden="1"/>
    </xf>
    <xf numFmtId="0" fontId="44" fillId="0" borderId="0" xfId="0" applyFont="1" applyAlignment="1" applyProtection="1">
      <alignment/>
      <protection hidden="1"/>
    </xf>
    <xf numFmtId="167" fontId="46" fillId="60" borderId="0" xfId="0" applyNumberFormat="1" applyFont="1" applyFill="1" applyBorder="1" applyAlignment="1" applyProtection="1">
      <alignment vertical="center"/>
      <protection hidden="1"/>
    </xf>
    <xf numFmtId="0" fontId="47" fillId="0" borderId="23" xfId="0" applyFont="1" applyFill="1" applyBorder="1" applyAlignment="1" applyProtection="1">
      <alignment horizontal="center" vertical="center"/>
      <protection locked="0"/>
    </xf>
    <xf numFmtId="171" fontId="46" fillId="60" borderId="0" xfId="0" applyNumberFormat="1" applyFont="1" applyFill="1" applyBorder="1" applyAlignment="1" applyProtection="1">
      <alignment vertical="center"/>
      <protection hidden="1"/>
    </xf>
    <xf numFmtId="4" fontId="47" fillId="0" borderId="23" xfId="0" applyNumberFormat="1" applyFont="1" applyFill="1" applyBorder="1" applyAlignment="1" applyProtection="1">
      <alignment/>
      <protection locked="0"/>
    </xf>
    <xf numFmtId="0" fontId="12" fillId="0" borderId="0" xfId="0" applyFont="1" applyBorder="1" applyAlignment="1" applyProtection="1">
      <alignment/>
      <protection hidden="1"/>
    </xf>
    <xf numFmtId="0" fontId="7" fillId="0" borderId="0" xfId="0" applyFont="1" applyBorder="1" applyAlignment="1" applyProtection="1">
      <alignment/>
      <protection hidden="1"/>
    </xf>
    <xf numFmtId="0" fontId="12" fillId="0" borderId="24" xfId="0" applyFont="1" applyBorder="1" applyAlignment="1" applyProtection="1">
      <alignment/>
      <protection hidden="1"/>
    </xf>
    <xf numFmtId="0" fontId="12" fillId="0" borderId="25" xfId="0" applyFont="1" applyBorder="1" applyAlignment="1" applyProtection="1">
      <alignment/>
      <protection hidden="1"/>
    </xf>
    <xf numFmtId="4" fontId="42" fillId="0" borderId="21" xfId="0" applyNumberFormat="1" applyFont="1" applyFill="1" applyBorder="1" applyAlignment="1" applyProtection="1">
      <alignment/>
      <protection locked="0"/>
    </xf>
    <xf numFmtId="0" fontId="41" fillId="0" borderId="0" xfId="0" applyFont="1" applyAlignment="1" applyProtection="1">
      <alignment/>
      <protection hidden="1"/>
    </xf>
    <xf numFmtId="0" fontId="7" fillId="0" borderId="0" xfId="0" applyFont="1" applyAlignment="1" applyProtection="1">
      <alignment vertical="top"/>
      <protection hidden="1"/>
    </xf>
    <xf numFmtId="175" fontId="47" fillId="0" borderId="23" xfId="0" applyNumberFormat="1" applyFont="1" applyFill="1" applyBorder="1" applyAlignment="1" applyProtection="1">
      <alignment/>
      <protection locked="0"/>
    </xf>
    <xf numFmtId="0" fontId="7" fillId="0" borderId="0" xfId="0" applyFont="1" applyAlignment="1" applyProtection="1">
      <alignment horizontal="left"/>
      <protection hidden="1"/>
    </xf>
    <xf numFmtId="0" fontId="7" fillId="0" borderId="0" xfId="0" applyFont="1" applyAlignment="1" applyProtection="1">
      <alignment horizontal="right"/>
      <protection hidden="1"/>
    </xf>
    <xf numFmtId="0" fontId="7" fillId="0" borderId="0" xfId="0" applyFont="1" applyAlignment="1" applyProtection="1">
      <alignment/>
      <protection hidden="1"/>
    </xf>
    <xf numFmtId="0" fontId="11" fillId="0" borderId="0" xfId="0" applyFont="1" applyAlignment="1" applyProtection="1">
      <alignment horizontal="right"/>
      <protection hidden="1"/>
    </xf>
    <xf numFmtId="3" fontId="47" fillId="0" borderId="23" xfId="0" applyNumberFormat="1" applyFont="1" applyFill="1" applyBorder="1" applyAlignment="1" applyProtection="1">
      <alignment horizontal="right"/>
      <protection locked="0"/>
    </xf>
    <xf numFmtId="0" fontId="46" fillId="0" borderId="0" xfId="0" applyFont="1" applyFill="1" applyAlignment="1" applyProtection="1">
      <alignment horizontal="left" vertical="top" wrapText="1"/>
      <protection hidden="1"/>
    </xf>
    <xf numFmtId="0" fontId="12" fillId="31" borderId="0" xfId="0" applyFont="1" applyFill="1" applyAlignment="1" applyProtection="1">
      <alignment horizontal="centerContinuous"/>
      <protection hidden="1"/>
    </xf>
    <xf numFmtId="0" fontId="12" fillId="31" borderId="22" xfId="0" applyFont="1" applyFill="1" applyBorder="1" applyAlignment="1" applyProtection="1">
      <alignment/>
      <protection hidden="1"/>
    </xf>
    <xf numFmtId="0" fontId="12" fillId="31" borderId="22" xfId="0" applyFont="1" applyFill="1" applyBorder="1" applyAlignment="1" applyProtection="1">
      <alignment horizontal="right"/>
      <protection hidden="1"/>
    </xf>
    <xf numFmtId="0" fontId="7" fillId="0" borderId="26" xfId="0" applyFont="1" applyBorder="1" applyAlignment="1" applyProtection="1">
      <alignment/>
      <protection hidden="1"/>
    </xf>
    <xf numFmtId="0" fontId="47" fillId="0" borderId="27" xfId="0" applyFont="1" applyFill="1" applyBorder="1" applyAlignment="1" applyProtection="1">
      <alignment/>
      <protection locked="0"/>
    </xf>
    <xf numFmtId="4" fontId="7" fillId="0" borderId="0" xfId="0" applyNumberFormat="1" applyFont="1" applyAlignment="1" applyProtection="1">
      <alignment/>
      <protection hidden="1"/>
    </xf>
    <xf numFmtId="4" fontId="47" fillId="0" borderId="21" xfId="0" applyNumberFormat="1" applyFont="1" applyFill="1" applyBorder="1" applyAlignment="1" applyProtection="1">
      <alignment/>
      <protection locked="0"/>
    </xf>
    <xf numFmtId="0" fontId="7" fillId="0" borderId="28" xfId="0" applyFont="1" applyBorder="1" applyAlignment="1" applyProtection="1">
      <alignment/>
      <protection hidden="1"/>
    </xf>
    <xf numFmtId="0" fontId="7" fillId="0" borderId="29" xfId="0" applyFont="1" applyBorder="1" applyAlignment="1" applyProtection="1">
      <alignment/>
      <protection hidden="1"/>
    </xf>
    <xf numFmtId="0" fontId="7" fillId="0" borderId="30" xfId="0" applyFont="1" applyBorder="1" applyAlignment="1" applyProtection="1">
      <alignment/>
      <protection hidden="1"/>
    </xf>
    <xf numFmtId="0" fontId="12" fillId="27" borderId="0" xfId="0" applyFont="1" applyFill="1" applyAlignment="1" applyProtection="1">
      <alignment/>
      <protection hidden="1"/>
    </xf>
    <xf numFmtId="0" fontId="12" fillId="27" borderId="0" xfId="0" applyFont="1" applyFill="1" applyBorder="1" applyAlignment="1" applyProtection="1">
      <alignment wrapText="1"/>
      <protection hidden="1"/>
    </xf>
    <xf numFmtId="0" fontId="13" fillId="27" borderId="0" xfId="0" applyFont="1" applyFill="1" applyAlignment="1" applyProtection="1">
      <alignment horizontal="center" vertical="center"/>
      <protection hidden="1"/>
    </xf>
    <xf numFmtId="0" fontId="12" fillId="27" borderId="0" xfId="0" applyFont="1" applyFill="1" applyAlignment="1" applyProtection="1" quotePrefix="1">
      <alignment horizontal="center" vertical="center"/>
      <protection hidden="1"/>
    </xf>
    <xf numFmtId="0" fontId="12" fillId="27" borderId="0" xfId="0" applyFont="1" applyFill="1" applyAlignment="1" applyProtection="1">
      <alignment horizontal="center" vertical="center"/>
      <protection hidden="1"/>
    </xf>
    <xf numFmtId="0" fontId="12" fillId="27" borderId="22" xfId="0" applyFont="1" applyFill="1" applyBorder="1" applyAlignment="1" applyProtection="1">
      <alignment/>
      <protection hidden="1"/>
    </xf>
    <xf numFmtId="0" fontId="12" fillId="27" borderId="22" xfId="0" applyFont="1" applyFill="1" applyBorder="1" applyAlignment="1" applyProtection="1">
      <alignment wrapText="1"/>
      <protection hidden="1"/>
    </xf>
    <xf numFmtId="0" fontId="13" fillId="27" borderId="22" xfId="0" applyFont="1" applyFill="1" applyBorder="1" applyAlignment="1" applyProtection="1">
      <alignment horizontal="center" vertical="center"/>
      <protection hidden="1"/>
    </xf>
    <xf numFmtId="0" fontId="12" fillId="27" borderId="22" xfId="0" applyFont="1" applyFill="1" applyBorder="1" applyAlignment="1" applyProtection="1" quotePrefix="1">
      <alignment horizontal="center" vertical="center"/>
      <protection hidden="1"/>
    </xf>
    <xf numFmtId="0" fontId="12" fillId="27" borderId="22" xfId="0" applyFont="1" applyFill="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19" fillId="54" borderId="0" xfId="0" applyFont="1" applyFill="1" applyBorder="1" applyAlignment="1" applyProtection="1">
      <alignment vertical="center" wrapText="1"/>
      <protection hidden="1"/>
    </xf>
    <xf numFmtId="0" fontId="19" fillId="54" borderId="0" xfId="0" applyFont="1" applyFill="1" applyBorder="1" applyAlignment="1" applyProtection="1">
      <alignment vertical="center"/>
      <protection hidden="1"/>
    </xf>
    <xf numFmtId="0" fontId="12" fillId="31" borderId="0" xfId="0" applyFont="1" applyFill="1" applyBorder="1" applyAlignment="1" applyProtection="1">
      <alignment horizontal="center" vertical="center" wrapText="1"/>
      <protection hidden="1"/>
    </xf>
    <xf numFmtId="0" fontId="12" fillId="31" borderId="0" xfId="0" applyFont="1" applyFill="1" applyBorder="1" applyAlignment="1" applyProtection="1">
      <alignment horizontal="center" vertical="center"/>
      <protection hidden="1"/>
    </xf>
    <xf numFmtId="0" fontId="7" fillId="51" borderId="0" xfId="0" applyFont="1" applyFill="1" applyBorder="1" applyAlignment="1" applyProtection="1">
      <alignment vertical="center"/>
      <protection hidden="1"/>
    </xf>
    <xf numFmtId="169" fontId="7" fillId="0" borderId="23" xfId="0" applyNumberFormat="1" applyFont="1" applyFill="1" applyBorder="1" applyAlignment="1" applyProtection="1">
      <alignment horizontal="center" vertical="center"/>
      <protection hidden="1"/>
    </xf>
    <xf numFmtId="171" fontId="7" fillId="0" borderId="31" xfId="0" applyNumberFormat="1" applyFont="1" applyFill="1" applyBorder="1" applyAlignment="1" applyProtection="1">
      <alignment vertical="center"/>
      <protection hidden="1"/>
    </xf>
    <xf numFmtId="171" fontId="7" fillId="38" borderId="32" xfId="0" applyNumberFormat="1" applyFont="1" applyFill="1" applyBorder="1" applyAlignment="1" applyProtection="1">
      <alignment vertical="center"/>
      <protection locked="0"/>
    </xf>
    <xf numFmtId="3" fontId="7" fillId="0" borderId="33" xfId="0" applyNumberFormat="1" applyFont="1" applyFill="1" applyBorder="1" applyAlignment="1" applyProtection="1">
      <alignment vertical="center"/>
      <protection hidden="1"/>
    </xf>
    <xf numFmtId="172" fontId="7" fillId="0" borderId="33" xfId="0" applyNumberFormat="1" applyFont="1" applyFill="1" applyBorder="1" applyAlignment="1" applyProtection="1">
      <alignment vertical="center"/>
      <protection hidden="1"/>
    </xf>
    <xf numFmtId="168" fontId="7" fillId="38" borderId="32" xfId="0" applyNumberFormat="1" applyFont="1" applyFill="1" applyBorder="1" applyAlignment="1" applyProtection="1">
      <alignment vertical="center"/>
      <protection locked="0"/>
    </xf>
    <xf numFmtId="175" fontId="7" fillId="0" borderId="23" xfId="0" applyNumberFormat="1" applyFont="1" applyFill="1" applyBorder="1" applyAlignment="1" applyProtection="1">
      <alignment horizontal="center" vertical="center"/>
      <protection hidden="1"/>
    </xf>
    <xf numFmtId="175" fontId="7" fillId="0" borderId="0" xfId="0" applyNumberFormat="1" applyFont="1" applyFill="1" applyBorder="1" applyAlignment="1" applyProtection="1">
      <alignment horizontal="center" vertical="center"/>
      <protection hidden="1"/>
    </xf>
    <xf numFmtId="3" fontId="7" fillId="0" borderId="0" xfId="0" applyNumberFormat="1" applyFont="1" applyFill="1" applyBorder="1" applyAlignment="1" applyProtection="1">
      <alignment vertical="center"/>
      <protection hidden="1"/>
    </xf>
    <xf numFmtId="0" fontId="49" fillId="61" borderId="0" xfId="0" applyFont="1" applyFill="1" applyBorder="1" applyAlignment="1" applyProtection="1">
      <alignment vertical="center"/>
      <protection hidden="1"/>
    </xf>
    <xf numFmtId="0" fontId="12" fillId="31" borderId="0" xfId="0" applyFont="1" applyFill="1" applyBorder="1" applyAlignment="1" applyProtection="1">
      <alignment vertical="center"/>
      <protection hidden="1"/>
    </xf>
    <xf numFmtId="3" fontId="12" fillId="31" borderId="0" xfId="0" applyNumberFormat="1" applyFont="1" applyFill="1" applyBorder="1" applyAlignment="1" applyProtection="1">
      <alignment horizontal="center" vertical="center"/>
      <protection hidden="1"/>
    </xf>
    <xf numFmtId="167" fontId="46" fillId="0" borderId="0" xfId="0" applyNumberFormat="1" applyFont="1" applyBorder="1" applyAlignment="1" applyProtection="1">
      <alignment vertical="center"/>
      <protection hidden="1"/>
    </xf>
    <xf numFmtId="0" fontId="12" fillId="51" borderId="0" xfId="0" applyFont="1" applyFill="1" applyBorder="1" applyAlignment="1" applyProtection="1">
      <alignment vertical="center"/>
      <protection hidden="1"/>
    </xf>
    <xf numFmtId="173" fontId="7" fillId="0" borderId="23" xfId="0" applyNumberFormat="1" applyFont="1" applyFill="1" applyBorder="1" applyAlignment="1" applyProtection="1">
      <alignment vertical="center"/>
      <protection hidden="1"/>
    </xf>
    <xf numFmtId="173" fontId="7" fillId="0" borderId="34" xfId="0" applyNumberFormat="1" applyFont="1" applyFill="1" applyBorder="1" applyAlignment="1" applyProtection="1">
      <alignment vertical="center"/>
      <protection hidden="1"/>
    </xf>
    <xf numFmtId="0" fontId="12" fillId="61" borderId="0" xfId="0" applyFont="1" applyFill="1" applyBorder="1" applyAlignment="1" applyProtection="1">
      <alignment vertical="center"/>
      <protection hidden="1"/>
    </xf>
    <xf numFmtId="3" fontId="49" fillId="51" borderId="0" xfId="0" applyNumberFormat="1" applyFont="1" applyFill="1" applyBorder="1" applyAlignment="1" applyProtection="1">
      <alignment horizontal="left" vertical="center"/>
      <protection hidden="1"/>
    </xf>
    <xf numFmtId="171" fontId="7" fillId="0" borderId="23" xfId="0" applyNumberFormat="1" applyFont="1" applyFill="1" applyBorder="1" applyAlignment="1" applyProtection="1">
      <alignment vertical="center"/>
      <protection hidden="1"/>
    </xf>
    <xf numFmtId="171" fontId="46" fillId="0" borderId="0" xfId="0" applyNumberFormat="1" applyFont="1" applyBorder="1" applyAlignment="1" applyProtection="1">
      <alignment vertical="center"/>
      <protection hidden="1"/>
    </xf>
    <xf numFmtId="3" fontId="7" fillId="51" borderId="0" xfId="0" applyNumberFormat="1" applyFont="1" applyFill="1" applyBorder="1" applyAlignment="1" applyProtection="1">
      <alignment horizontal="left" vertical="center"/>
      <protection hidden="1"/>
    </xf>
    <xf numFmtId="3" fontId="49" fillId="61" borderId="0" xfId="0" applyNumberFormat="1" applyFont="1" applyFill="1" applyBorder="1" applyAlignment="1" applyProtection="1">
      <alignment horizontal="left" vertical="center"/>
      <protection hidden="1"/>
    </xf>
    <xf numFmtId="0" fontId="12" fillId="32" borderId="0" xfId="0" applyFont="1" applyFill="1" applyBorder="1" applyAlignment="1" applyProtection="1">
      <alignment vertical="center"/>
      <protection hidden="1"/>
    </xf>
    <xf numFmtId="3" fontId="49" fillId="32" borderId="0" xfId="0" applyNumberFormat="1" applyFont="1" applyFill="1" applyBorder="1" applyAlignment="1" applyProtection="1">
      <alignment horizontal="center" vertical="center"/>
      <protection hidden="1"/>
    </xf>
    <xf numFmtId="171" fontId="49" fillId="35" borderId="32" xfId="0" applyNumberFormat="1" applyFont="1" applyFill="1" applyBorder="1" applyAlignment="1" applyProtection="1">
      <alignment vertical="center"/>
      <protection locked="0"/>
    </xf>
    <xf numFmtId="171" fontId="7" fillId="0" borderId="0" xfId="0" applyNumberFormat="1" applyFont="1" applyBorder="1" applyAlignment="1" applyProtection="1">
      <alignment vertical="center"/>
      <protection hidden="1"/>
    </xf>
    <xf numFmtId="0" fontId="7" fillId="51" borderId="0" xfId="0" applyFont="1" applyFill="1" applyBorder="1" applyAlignment="1" applyProtection="1">
      <alignment horizontal="left" vertical="center"/>
      <protection hidden="1"/>
    </xf>
    <xf numFmtId="0" fontId="7" fillId="51" borderId="0" xfId="0" applyFont="1" applyFill="1" applyBorder="1" applyAlignment="1" applyProtection="1">
      <alignment horizontal="centerContinuous" vertical="center"/>
      <protection hidden="1"/>
    </xf>
    <xf numFmtId="171" fontId="7" fillId="0" borderId="34" xfId="0" applyNumberFormat="1" applyFont="1" applyFill="1" applyBorder="1" applyAlignment="1" applyProtection="1">
      <alignment vertical="center"/>
      <protection hidden="1"/>
    </xf>
    <xf numFmtId="171" fontId="49" fillId="62" borderId="32" xfId="0" applyNumberFormat="1" applyFont="1" applyFill="1" applyBorder="1" applyAlignment="1" applyProtection="1">
      <alignment vertical="center"/>
      <protection locked="0"/>
    </xf>
    <xf numFmtId="0" fontId="7" fillId="51" borderId="0" xfId="0" applyFont="1" applyFill="1" applyBorder="1" applyAlignment="1" applyProtection="1">
      <alignment horizontal="center" vertical="center"/>
      <protection hidden="1"/>
    </xf>
    <xf numFmtId="3" fontId="12" fillId="31" borderId="0" xfId="0" applyNumberFormat="1" applyFont="1" applyFill="1" applyBorder="1" applyAlignment="1" applyProtection="1">
      <alignment vertical="center"/>
      <protection hidden="1"/>
    </xf>
    <xf numFmtId="3" fontId="7" fillId="51" borderId="0" xfId="0" applyNumberFormat="1" applyFont="1" applyFill="1" applyBorder="1" applyAlignment="1" applyProtection="1">
      <alignment vertical="center"/>
      <protection hidden="1"/>
    </xf>
    <xf numFmtId="3" fontId="7" fillId="0" borderId="31" xfId="91" applyNumberFormat="1" applyFont="1" applyFill="1" applyBorder="1" applyAlignment="1" applyProtection="1">
      <alignment horizontal="center" vertical="center"/>
      <protection hidden="1"/>
    </xf>
    <xf numFmtId="10" fontId="7" fillId="0" borderId="23" xfId="0" applyNumberFormat="1" applyFont="1" applyFill="1" applyBorder="1" applyAlignment="1" applyProtection="1">
      <alignment vertical="center"/>
      <protection hidden="1"/>
    </xf>
    <xf numFmtId="3" fontId="7" fillId="0" borderId="23" xfId="91"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171" fontId="7" fillId="0" borderId="0" xfId="0" applyNumberFormat="1" applyFont="1" applyFill="1" applyBorder="1" applyAlignment="1" applyProtection="1">
      <alignment horizontal="center" vertical="center"/>
      <protection hidden="1"/>
    </xf>
    <xf numFmtId="3" fontId="7" fillId="0" borderId="0" xfId="0" applyNumberFormat="1" applyFont="1" applyFill="1" applyBorder="1" applyAlignment="1" applyProtection="1">
      <alignment horizontal="center" vertical="center"/>
      <protection hidden="1"/>
    </xf>
    <xf numFmtId="171" fontId="12" fillId="0" borderId="0" xfId="0" applyNumberFormat="1" applyFont="1" applyFill="1" applyBorder="1" applyAlignment="1" applyProtection="1">
      <alignment vertical="center"/>
      <protection hidden="1"/>
    </xf>
    <xf numFmtId="3" fontId="49" fillId="61" borderId="0" xfId="0" applyNumberFormat="1" applyFont="1" applyFill="1" applyBorder="1" applyAlignment="1" applyProtection="1">
      <alignment vertical="center"/>
      <protection hidden="1"/>
    </xf>
    <xf numFmtId="3" fontId="12" fillId="61" borderId="0" xfId="91" applyNumberFormat="1" applyFont="1" applyFill="1" applyBorder="1" applyAlignment="1" applyProtection="1">
      <alignment horizontal="right" vertical="center"/>
      <protection hidden="1"/>
    </xf>
    <xf numFmtId="226" fontId="7" fillId="0" borderId="23" xfId="0" applyNumberFormat="1" applyFont="1" applyBorder="1" applyAlignment="1" applyProtection="1">
      <alignment vertical="center"/>
      <protection hidden="1"/>
    </xf>
    <xf numFmtId="171" fontId="7" fillId="0" borderId="35" xfId="0" applyNumberFormat="1" applyFont="1" applyFill="1" applyBorder="1" applyAlignment="1" applyProtection="1">
      <alignment vertical="center"/>
      <protection hidden="1"/>
    </xf>
    <xf numFmtId="171" fontId="49" fillId="61" borderId="34" xfId="0" applyNumberFormat="1" applyFont="1" applyFill="1" applyBorder="1" applyAlignment="1" applyProtection="1">
      <alignment vertical="center"/>
      <protection hidden="1"/>
    </xf>
    <xf numFmtId="0" fontId="7" fillId="27" borderId="0" xfId="0" applyFont="1" applyFill="1" applyBorder="1" applyAlignment="1" applyProtection="1">
      <alignment vertical="center"/>
      <protection hidden="1"/>
    </xf>
    <xf numFmtId="171" fontId="7" fillId="0" borderId="36" xfId="0" applyNumberFormat="1" applyFont="1" applyFill="1" applyBorder="1" applyAlignment="1" applyProtection="1">
      <alignment vertical="center"/>
      <protection hidden="1"/>
    </xf>
    <xf numFmtId="0" fontId="19" fillId="54" borderId="0" xfId="0" applyFont="1" applyFill="1" applyBorder="1" applyAlignment="1" applyProtection="1">
      <alignment/>
      <protection hidden="1"/>
    </xf>
    <xf numFmtId="0" fontId="19" fillId="54" borderId="0" xfId="0" applyFont="1" applyFill="1" applyBorder="1" applyAlignment="1" applyProtection="1">
      <alignment wrapText="1"/>
      <protection hidden="1"/>
    </xf>
    <xf numFmtId="0" fontId="7" fillId="0" borderId="0" xfId="0" applyFont="1" applyFill="1" applyBorder="1" applyAlignment="1" applyProtection="1">
      <alignment/>
      <protection hidden="1"/>
    </xf>
    <xf numFmtId="0" fontId="39" fillId="54" borderId="0" xfId="0" applyFont="1" applyFill="1" applyBorder="1" applyAlignment="1" applyProtection="1">
      <alignment vertical="center"/>
      <protection hidden="1"/>
    </xf>
    <xf numFmtId="0" fontId="46" fillId="54" borderId="0" xfId="0" applyFont="1" applyFill="1" applyBorder="1" applyAlignment="1" applyProtection="1">
      <alignment vertical="center" wrapText="1"/>
      <protection hidden="1"/>
    </xf>
    <xf numFmtId="0" fontId="12" fillId="54" borderId="0" xfId="0" applyFont="1" applyFill="1" applyBorder="1" applyAlignment="1" applyProtection="1">
      <alignment vertical="top"/>
      <protection hidden="1"/>
    </xf>
    <xf numFmtId="0" fontId="55" fillId="54" borderId="0" xfId="0" applyFont="1" applyFill="1" applyBorder="1" applyAlignment="1" applyProtection="1">
      <alignment wrapText="1"/>
      <protection hidden="1"/>
    </xf>
    <xf numFmtId="0" fontId="14" fillId="0" borderId="0" xfId="0" applyFont="1" applyFill="1" applyBorder="1" applyAlignment="1" applyProtection="1">
      <alignment/>
      <protection hidden="1"/>
    </xf>
    <xf numFmtId="3" fontId="56" fillId="31" borderId="0" xfId="0" applyNumberFormat="1" applyFont="1" applyFill="1" applyBorder="1" applyAlignment="1" applyProtection="1">
      <alignment horizontal="center" vertical="center"/>
      <protection hidden="1"/>
    </xf>
    <xf numFmtId="3" fontId="56" fillId="31" borderId="0" xfId="0" applyNumberFormat="1" applyFont="1" applyFill="1" applyBorder="1" applyAlignment="1" applyProtection="1">
      <alignment horizontal="center" vertical="center" wrapText="1"/>
      <protection hidden="1"/>
    </xf>
    <xf numFmtId="227" fontId="41" fillId="0" borderId="23" xfId="0" applyNumberFormat="1" applyFont="1" applyFill="1" applyBorder="1" applyAlignment="1" applyProtection="1">
      <alignment vertical="center"/>
      <protection hidden="1"/>
    </xf>
    <xf numFmtId="0" fontId="56" fillId="31" borderId="0" xfId="0" applyFont="1" applyFill="1" applyBorder="1" applyAlignment="1" applyProtection="1">
      <alignment horizontal="center" vertical="center"/>
      <protection hidden="1"/>
    </xf>
    <xf numFmtId="0" fontId="57" fillId="51" borderId="0" xfId="0" applyFont="1" applyFill="1" applyBorder="1" applyAlignment="1" applyProtection="1" quotePrefix="1">
      <alignment vertical="center"/>
      <protection hidden="1"/>
    </xf>
    <xf numFmtId="0" fontId="57" fillId="51" borderId="0" xfId="0" applyFont="1" applyFill="1" applyBorder="1" applyAlignment="1" applyProtection="1">
      <alignment vertical="center"/>
      <protection hidden="1"/>
    </xf>
    <xf numFmtId="171" fontId="57" fillId="0" borderId="23" xfId="0" applyNumberFormat="1" applyFont="1" applyFill="1" applyBorder="1" applyAlignment="1" applyProtection="1">
      <alignment vertical="center"/>
      <protection hidden="1"/>
    </xf>
    <xf numFmtId="171" fontId="57" fillId="0" borderId="34" xfId="0" applyNumberFormat="1" applyFont="1" applyFill="1" applyBorder="1" applyAlignment="1" applyProtection="1">
      <alignment vertical="center"/>
      <protection hidden="1"/>
    </xf>
    <xf numFmtId="0" fontId="12" fillId="61" borderId="0" xfId="0" applyFont="1" applyFill="1" applyBorder="1" applyAlignment="1" applyProtection="1" quotePrefix="1">
      <alignment vertical="center"/>
      <protection hidden="1"/>
    </xf>
    <xf numFmtId="171" fontId="12" fillId="50" borderId="32" xfId="0" applyNumberFormat="1" applyFont="1" applyFill="1" applyBorder="1" applyAlignment="1" applyProtection="1">
      <alignment vertical="center"/>
      <protection hidden="1"/>
    </xf>
    <xf numFmtId="0" fontId="7" fillId="31" borderId="0"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58" fillId="31" borderId="0" xfId="0" applyFont="1" applyFill="1" applyBorder="1" applyAlignment="1" applyProtection="1">
      <alignment horizontal="left" vertical="center"/>
      <protection hidden="1"/>
    </xf>
    <xf numFmtId="0" fontId="59" fillId="31" borderId="23" xfId="0" applyFont="1" applyFill="1" applyBorder="1" applyAlignment="1" applyProtection="1">
      <alignment horizontal="center" vertical="center"/>
      <protection hidden="1"/>
    </xf>
    <xf numFmtId="0" fontId="33" fillId="31" borderId="0" xfId="0" applyFont="1" applyFill="1" applyBorder="1" applyAlignment="1" applyProtection="1">
      <alignment vertical="center"/>
      <protection hidden="1"/>
    </xf>
    <xf numFmtId="0" fontId="60"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228" fontId="7" fillId="0" borderId="23" xfId="0" applyNumberFormat="1" applyFont="1" applyFill="1" applyBorder="1" applyAlignment="1" applyProtection="1">
      <alignment vertical="center"/>
      <protection hidden="1"/>
    </xf>
    <xf numFmtId="0" fontId="12" fillId="27" borderId="0" xfId="0" applyFont="1" applyFill="1" applyBorder="1" applyAlignment="1" applyProtection="1">
      <alignment vertical="center"/>
      <protection hidden="1"/>
    </xf>
    <xf numFmtId="0" fontId="12" fillId="27" borderId="0" xfId="0" applyFont="1" applyFill="1" applyBorder="1" applyAlignment="1" applyProtection="1">
      <alignment horizontal="center" vertical="center"/>
      <protection hidden="1"/>
    </xf>
    <xf numFmtId="0" fontId="7" fillId="51" borderId="0" xfId="0" applyFont="1" applyFill="1" applyBorder="1" applyAlignment="1" applyProtection="1">
      <alignment horizontal="right" vertical="center"/>
      <protection hidden="1"/>
    </xf>
    <xf numFmtId="0" fontId="13" fillId="51" borderId="0" xfId="0" applyFont="1" applyFill="1" applyBorder="1" applyAlignment="1" applyProtection="1">
      <alignment horizontal="right" vertical="center"/>
      <protection hidden="1"/>
    </xf>
    <xf numFmtId="0" fontId="12" fillId="54" borderId="0" xfId="0" applyFont="1" applyFill="1" applyBorder="1" applyAlignment="1" applyProtection="1">
      <alignment vertical="center"/>
      <protection hidden="1"/>
    </xf>
    <xf numFmtId="3" fontId="12" fillId="61" borderId="0" xfId="0" applyNumberFormat="1" applyFont="1" applyFill="1" applyBorder="1" applyAlignment="1" applyProtection="1">
      <alignment vertical="center"/>
      <protection hidden="1"/>
    </xf>
    <xf numFmtId="1" fontId="56" fillId="31" borderId="0" xfId="0" applyNumberFormat="1" applyFont="1" applyFill="1" applyBorder="1" applyAlignment="1" applyProtection="1">
      <alignment horizontal="center" vertical="center" wrapText="1"/>
      <protection hidden="1"/>
    </xf>
    <xf numFmtId="0" fontId="33" fillId="31" borderId="0" xfId="0" applyFont="1" applyFill="1" applyBorder="1" applyAlignment="1" applyProtection="1">
      <alignment horizontal="center" vertical="center" wrapText="1"/>
      <protection hidden="1"/>
    </xf>
    <xf numFmtId="0" fontId="12" fillId="31" borderId="0" xfId="0" applyFont="1" applyFill="1" applyBorder="1" applyAlignment="1" applyProtection="1">
      <alignment/>
      <protection hidden="1"/>
    </xf>
    <xf numFmtId="0" fontId="7" fillId="0" borderId="0" xfId="0" applyFont="1" applyBorder="1" applyAlignment="1" applyProtection="1">
      <alignment/>
      <protection locked="0"/>
    </xf>
    <xf numFmtId="0" fontId="7" fillId="51" borderId="0" xfId="0" applyFont="1" applyFill="1" applyBorder="1" applyAlignment="1" applyProtection="1">
      <alignment/>
      <protection hidden="1"/>
    </xf>
    <xf numFmtId="3" fontId="7" fillId="0" borderId="23" xfId="91" applyNumberFormat="1" applyFont="1" applyFill="1" applyBorder="1" applyAlignment="1" applyProtection="1">
      <alignment horizontal="center"/>
      <protection hidden="1"/>
    </xf>
    <xf numFmtId="3" fontId="49" fillId="31" borderId="0" xfId="0" applyNumberFormat="1" applyFont="1" applyFill="1" applyBorder="1" applyAlignment="1" applyProtection="1">
      <alignment/>
      <protection hidden="1"/>
    </xf>
    <xf numFmtId="3" fontId="7" fillId="0" borderId="23" xfId="0" applyNumberFormat="1" applyFont="1" applyFill="1" applyBorder="1" applyAlignment="1" applyProtection="1">
      <alignment horizontal="centerContinuous"/>
      <protection hidden="1"/>
    </xf>
    <xf numFmtId="3" fontId="12" fillId="51" borderId="0" xfId="0" applyNumberFormat="1" applyFont="1" applyFill="1" applyBorder="1" applyAlignment="1" applyProtection="1">
      <alignment/>
      <protection hidden="1"/>
    </xf>
    <xf numFmtId="4" fontId="7" fillId="0" borderId="23" xfId="0" applyNumberFormat="1" applyFont="1" applyFill="1" applyBorder="1" applyAlignment="1" applyProtection="1">
      <alignment horizontal="center"/>
      <protection hidden="1"/>
    </xf>
    <xf numFmtId="192" fontId="7" fillId="0" borderId="23" xfId="0" applyNumberFormat="1" applyFont="1" applyFill="1" applyBorder="1" applyAlignment="1" applyProtection="1">
      <alignment/>
      <protection hidden="1"/>
    </xf>
    <xf numFmtId="3" fontId="7" fillId="51" borderId="0" xfId="0" applyNumberFormat="1" applyFont="1" applyFill="1" applyBorder="1" applyAlignment="1" applyProtection="1">
      <alignment vertical="justify"/>
      <protection hidden="1"/>
    </xf>
    <xf numFmtId="0" fontId="7" fillId="31" borderId="0" xfId="0" applyFont="1" applyFill="1" applyBorder="1" applyAlignment="1" applyProtection="1">
      <alignment/>
      <protection hidden="1"/>
    </xf>
    <xf numFmtId="0" fontId="12" fillId="31" borderId="0" xfId="0" applyFont="1" applyFill="1" applyBorder="1" applyAlignment="1" applyProtection="1">
      <alignment horizontal="center"/>
      <protection hidden="1"/>
    </xf>
    <xf numFmtId="4" fontId="12" fillId="51" borderId="0" xfId="0" applyNumberFormat="1" applyFont="1" applyFill="1" applyBorder="1" applyAlignment="1" applyProtection="1">
      <alignment/>
      <protection hidden="1"/>
    </xf>
    <xf numFmtId="193" fontId="12" fillId="0" borderId="23" xfId="0" applyNumberFormat="1" applyFont="1" applyFill="1" applyBorder="1" applyAlignment="1" applyProtection="1">
      <alignment horizontal="center"/>
      <protection hidden="1"/>
    </xf>
    <xf numFmtId="197" fontId="12" fillId="0" borderId="23" xfId="0" applyNumberFormat="1" applyFont="1" applyFill="1" applyBorder="1" applyAlignment="1" applyProtection="1">
      <alignment/>
      <protection hidden="1"/>
    </xf>
    <xf numFmtId="1" fontId="12" fillId="0" borderId="23" xfId="0" applyNumberFormat="1" applyFont="1" applyFill="1" applyBorder="1" applyAlignment="1" applyProtection="1">
      <alignment horizontal="center"/>
      <protection hidden="1"/>
    </xf>
    <xf numFmtId="197" fontId="7" fillId="0" borderId="23" xfId="0" applyNumberFormat="1" applyFont="1" applyFill="1" applyBorder="1" applyAlignment="1" applyProtection="1">
      <alignment horizontal="centerContinuous"/>
      <protection hidden="1"/>
    </xf>
    <xf numFmtId="3" fontId="12" fillId="31" borderId="0" xfId="0" applyNumberFormat="1" applyFont="1" applyFill="1" applyBorder="1" applyAlignment="1" applyProtection="1">
      <alignment/>
      <protection hidden="1"/>
    </xf>
    <xf numFmtId="3" fontId="12" fillId="31" borderId="0" xfId="0" applyNumberFormat="1" applyFont="1" applyFill="1" applyBorder="1" applyAlignment="1" applyProtection="1">
      <alignment horizontal="center"/>
      <protection hidden="1"/>
    </xf>
    <xf numFmtId="3" fontId="7" fillId="0" borderId="0" xfId="0" applyNumberFormat="1" applyFont="1" applyFill="1" applyBorder="1" applyAlignment="1" applyProtection="1">
      <alignment/>
      <protection hidden="1"/>
    </xf>
    <xf numFmtId="3" fontId="7" fillId="51" borderId="0" xfId="0" applyNumberFormat="1" applyFont="1" applyFill="1" applyBorder="1" applyAlignment="1" applyProtection="1">
      <alignment/>
      <protection hidden="1"/>
    </xf>
    <xf numFmtId="198" fontId="7" fillId="0" borderId="23" xfId="0" applyNumberFormat="1" applyFont="1" applyFill="1" applyBorder="1" applyAlignment="1" applyProtection="1">
      <alignment horizontal="centerContinuous"/>
      <protection hidden="1"/>
    </xf>
    <xf numFmtId="199" fontId="7" fillId="0" borderId="34" xfId="0" applyNumberFormat="1" applyFont="1" applyFill="1" applyBorder="1" applyAlignment="1" applyProtection="1">
      <alignment horizontal="centerContinuous"/>
      <protection hidden="1"/>
    </xf>
    <xf numFmtId="0" fontId="12" fillId="31" borderId="0" xfId="0" applyFont="1" applyFill="1" applyBorder="1" applyAlignment="1" applyProtection="1">
      <alignment/>
      <protection hidden="1"/>
    </xf>
    <xf numFmtId="3" fontId="7" fillId="51" borderId="0" xfId="0" applyNumberFormat="1" applyFont="1" applyFill="1" applyBorder="1" applyAlignment="1" applyProtection="1">
      <alignment/>
      <protection hidden="1"/>
    </xf>
    <xf numFmtId="187" fontId="7" fillId="0" borderId="23" xfId="105" applyNumberFormat="1" applyFont="1" applyFill="1" applyBorder="1" applyAlignment="1" applyProtection="1">
      <alignment horizontal="centerContinuous"/>
      <protection hidden="1"/>
    </xf>
    <xf numFmtId="190" fontId="12" fillId="0" borderId="23" xfId="0" applyNumberFormat="1" applyFont="1" applyFill="1" applyBorder="1" applyAlignment="1" applyProtection="1">
      <alignment/>
      <protection hidden="1"/>
    </xf>
    <xf numFmtId="197" fontId="7" fillId="0" borderId="23" xfId="0" applyNumberFormat="1" applyFont="1" applyFill="1" applyBorder="1" applyAlignment="1" applyProtection="1">
      <alignment/>
      <protection hidden="1"/>
    </xf>
    <xf numFmtId="3" fontId="7" fillId="0" borderId="0" xfId="0" applyNumberFormat="1" applyFont="1" applyFill="1" applyBorder="1" applyAlignment="1" applyProtection="1">
      <alignment horizontal="right"/>
      <protection hidden="1"/>
    </xf>
    <xf numFmtId="191" fontId="7" fillId="0" borderId="23" xfId="0" applyNumberFormat="1" applyFont="1" applyFill="1" applyBorder="1" applyAlignment="1" applyProtection="1">
      <alignment/>
      <protection hidden="1"/>
    </xf>
    <xf numFmtId="197" fontId="7" fillId="0" borderId="37" xfId="0" applyNumberFormat="1" applyFont="1" applyFill="1" applyBorder="1" applyAlignment="1" applyProtection="1">
      <alignment/>
      <protection hidden="1"/>
    </xf>
    <xf numFmtId="0" fontId="7" fillId="0" borderId="23" xfId="0" applyFont="1" applyFill="1" applyBorder="1" applyAlignment="1" applyProtection="1">
      <alignment/>
      <protection hidden="1"/>
    </xf>
    <xf numFmtId="197" fontId="7" fillId="0" borderId="23" xfId="0" applyNumberFormat="1" applyFont="1" applyFill="1" applyBorder="1" applyAlignment="1" applyProtection="1">
      <alignment/>
      <protection hidden="1"/>
    </xf>
    <xf numFmtId="197" fontId="46" fillId="0" borderId="0" xfId="0" applyNumberFormat="1" applyFont="1" applyBorder="1" applyAlignment="1" applyProtection="1">
      <alignment/>
      <protection hidden="1"/>
    </xf>
    <xf numFmtId="3" fontId="7" fillId="0" borderId="23" xfId="0" applyNumberFormat="1" applyFont="1" applyFill="1" applyBorder="1" applyAlignment="1" applyProtection="1">
      <alignment/>
      <protection hidden="1"/>
    </xf>
    <xf numFmtId="190" fontId="12" fillId="0" borderId="37" xfId="0" applyNumberFormat="1" applyFont="1" applyFill="1" applyBorder="1" applyAlignment="1" applyProtection="1">
      <alignment/>
      <protection hidden="1"/>
    </xf>
    <xf numFmtId="0" fontId="12" fillId="0" borderId="23" xfId="0" applyFont="1" applyFill="1" applyBorder="1" applyAlignment="1" applyProtection="1">
      <alignment/>
      <protection hidden="1"/>
    </xf>
    <xf numFmtId="190" fontId="7" fillId="0" borderId="23" xfId="0" applyNumberFormat="1" applyFont="1" applyFill="1" applyBorder="1" applyAlignment="1" applyProtection="1">
      <alignment/>
      <protection hidden="1"/>
    </xf>
    <xf numFmtId="3" fontId="49" fillId="0" borderId="23" xfId="0" applyNumberFormat="1" applyFont="1" applyFill="1" applyBorder="1" applyAlignment="1" applyProtection="1">
      <alignment/>
      <protection hidden="1"/>
    </xf>
    <xf numFmtId="173" fontId="7" fillId="0" borderId="23" xfId="0" applyNumberFormat="1" applyFont="1" applyFill="1" applyBorder="1" applyAlignment="1" applyProtection="1">
      <alignment/>
      <protection hidden="1"/>
    </xf>
    <xf numFmtId="3" fontId="7" fillId="0" borderId="0" xfId="0" applyNumberFormat="1" applyFont="1" applyFill="1" applyBorder="1" applyAlignment="1" applyProtection="1">
      <alignment horizontal="center"/>
      <protection hidden="1"/>
    </xf>
    <xf numFmtId="3" fontId="7" fillId="0" borderId="0" xfId="0" applyNumberFormat="1" applyFont="1" applyFill="1" applyBorder="1" applyAlignment="1" applyProtection="1">
      <alignment/>
      <protection hidden="1"/>
    </xf>
    <xf numFmtId="3" fontId="7" fillId="31" borderId="0" xfId="0" applyNumberFormat="1" applyFont="1" applyFill="1" applyBorder="1" applyAlignment="1" applyProtection="1">
      <alignment/>
      <protection hidden="1"/>
    </xf>
    <xf numFmtId="3" fontId="12" fillId="31" borderId="0" xfId="0" applyNumberFormat="1" applyFont="1" applyFill="1" applyBorder="1" applyAlignment="1" applyProtection="1">
      <alignment/>
      <protection hidden="1"/>
    </xf>
    <xf numFmtId="3" fontId="12" fillId="31" borderId="0" xfId="0" applyNumberFormat="1" applyFont="1" applyFill="1" applyBorder="1" applyAlignment="1" applyProtection="1">
      <alignment horizontal="centerContinuous"/>
      <protection hidden="1"/>
    </xf>
    <xf numFmtId="171" fontId="7" fillId="38" borderId="32" xfId="0" applyNumberFormat="1" applyFont="1" applyFill="1" applyBorder="1" applyAlignment="1" applyProtection="1">
      <alignment/>
      <protection locked="0"/>
    </xf>
    <xf numFmtId="3" fontId="7" fillId="51" borderId="0" xfId="0" applyNumberFormat="1" applyFont="1" applyFill="1" applyBorder="1" applyAlignment="1" applyProtection="1">
      <alignment horizontal="left"/>
      <protection hidden="1"/>
    </xf>
    <xf numFmtId="3" fontId="12" fillId="61" borderId="0" xfId="0" applyNumberFormat="1" applyFont="1" applyFill="1" applyBorder="1" applyAlignment="1" applyProtection="1">
      <alignment/>
      <protection hidden="1"/>
    </xf>
    <xf numFmtId="171" fontId="7" fillId="50" borderId="32" xfId="0" applyNumberFormat="1" applyFont="1" applyFill="1" applyBorder="1" applyAlignment="1" applyProtection="1">
      <alignment/>
      <protection locked="0"/>
    </xf>
    <xf numFmtId="3" fontId="12" fillId="0" borderId="0" xfId="0" applyNumberFormat="1" applyFont="1" applyFill="1" applyBorder="1" applyAlignment="1" applyProtection="1">
      <alignment/>
      <protection hidden="1"/>
    </xf>
    <xf numFmtId="3" fontId="49" fillId="61" borderId="0" xfId="0" applyNumberFormat="1" applyFont="1" applyFill="1" applyBorder="1" applyAlignment="1" applyProtection="1">
      <alignment/>
      <protection hidden="1"/>
    </xf>
    <xf numFmtId="171" fontId="49" fillId="61" borderId="0" xfId="0" applyNumberFormat="1" applyFont="1" applyFill="1" applyBorder="1" applyAlignment="1" applyProtection="1">
      <alignment/>
      <protection hidden="1"/>
    </xf>
    <xf numFmtId="4" fontId="7" fillId="0" borderId="31" xfId="0" applyNumberFormat="1" applyFont="1" applyFill="1" applyBorder="1" applyAlignment="1" applyProtection="1">
      <alignment/>
      <protection hidden="1"/>
    </xf>
    <xf numFmtId="171" fontId="12" fillId="38" borderId="32" xfId="0" applyNumberFormat="1" applyFont="1" applyFill="1" applyBorder="1" applyAlignment="1" applyProtection="1">
      <alignment/>
      <protection locked="0"/>
    </xf>
    <xf numFmtId="195" fontId="7" fillId="0" borderId="31" xfId="0" applyNumberFormat="1" applyFont="1" applyFill="1" applyBorder="1" applyAlignment="1" applyProtection="1">
      <alignment/>
      <protection hidden="1"/>
    </xf>
    <xf numFmtId="4" fontId="7" fillId="0" borderId="23" xfId="0" applyNumberFormat="1" applyFont="1" applyFill="1" applyBorder="1" applyAlignment="1" applyProtection="1">
      <alignment/>
      <protection hidden="1"/>
    </xf>
    <xf numFmtId="202" fontId="7" fillId="0" borderId="23" xfId="0" applyNumberFormat="1" applyFont="1" applyFill="1" applyBorder="1" applyAlignment="1" applyProtection="1">
      <alignment/>
      <protection hidden="1"/>
    </xf>
    <xf numFmtId="3" fontId="12" fillId="27" borderId="0" xfId="0" applyNumberFormat="1" applyFont="1" applyFill="1" applyBorder="1" applyAlignment="1" applyProtection="1">
      <alignment vertical="center"/>
      <protection hidden="1"/>
    </xf>
    <xf numFmtId="3" fontId="12" fillId="0" borderId="23" xfId="0" applyNumberFormat="1" applyFont="1" applyFill="1" applyBorder="1" applyAlignment="1" applyProtection="1">
      <alignment horizontal="center"/>
      <protection hidden="1"/>
    </xf>
    <xf numFmtId="3" fontId="49" fillId="0" borderId="0" xfId="0" applyNumberFormat="1" applyFont="1" applyFill="1" applyBorder="1" applyAlignment="1" applyProtection="1">
      <alignment/>
      <protection hidden="1"/>
    </xf>
    <xf numFmtId="3" fontId="7" fillId="31" borderId="0" xfId="0" applyNumberFormat="1" applyFont="1" applyFill="1" applyBorder="1" applyAlignment="1" applyProtection="1">
      <alignment horizontal="center"/>
      <protection hidden="1"/>
    </xf>
    <xf numFmtId="205" fontId="7" fillId="0" borderId="23" xfId="0" applyNumberFormat="1" applyFont="1" applyFill="1" applyBorder="1" applyAlignment="1" applyProtection="1">
      <alignment/>
      <protection hidden="1"/>
    </xf>
    <xf numFmtId="3" fontId="12" fillId="0" borderId="23" xfId="0" applyNumberFormat="1" applyFont="1" applyFill="1" applyBorder="1" applyAlignment="1" applyProtection="1">
      <alignment/>
      <protection hidden="1"/>
    </xf>
    <xf numFmtId="203" fontId="7" fillId="0" borderId="31" xfId="0" applyNumberFormat="1" applyFont="1" applyFill="1" applyBorder="1" applyAlignment="1" applyProtection="1">
      <alignment/>
      <protection hidden="1"/>
    </xf>
    <xf numFmtId="167" fontId="7" fillId="51" borderId="0" xfId="0" applyNumberFormat="1" applyFont="1" applyFill="1" applyBorder="1" applyAlignment="1" applyProtection="1">
      <alignment/>
      <protection hidden="1"/>
    </xf>
    <xf numFmtId="0" fontId="7" fillId="51" borderId="0" xfId="0" applyFont="1" applyFill="1" applyBorder="1" applyAlignment="1" applyProtection="1">
      <alignment/>
      <protection hidden="1"/>
    </xf>
    <xf numFmtId="3" fontId="7" fillId="61" borderId="0" xfId="0" applyNumberFormat="1" applyFont="1" applyFill="1" applyBorder="1" applyAlignment="1" applyProtection="1">
      <alignment/>
      <protection hidden="1"/>
    </xf>
    <xf numFmtId="0" fontId="9" fillId="54" borderId="0" xfId="0" applyFont="1" applyFill="1" applyAlignment="1" applyProtection="1">
      <alignment horizontal="left" vertical="center"/>
      <protection hidden="1"/>
    </xf>
    <xf numFmtId="0" fontId="61" fillId="54" borderId="0" xfId="0" applyFont="1" applyFill="1" applyAlignment="1" applyProtection="1">
      <alignment horizontal="left" vertical="center"/>
      <protection hidden="1"/>
    </xf>
    <xf numFmtId="0" fontId="62" fillId="0" borderId="0" xfId="0" applyFont="1" applyAlignment="1" applyProtection="1">
      <alignment vertical="center"/>
      <protection hidden="1"/>
    </xf>
    <xf numFmtId="0" fontId="0" fillId="0" borderId="0" xfId="0" applyFont="1" applyAlignment="1" applyProtection="1">
      <alignment vertical="center"/>
      <protection hidden="1"/>
    </xf>
    <xf numFmtId="0" fontId="1" fillId="31" borderId="0" xfId="0" applyFont="1" applyFill="1" applyBorder="1" applyAlignment="1" applyProtection="1">
      <alignment vertical="center"/>
      <protection hidden="1"/>
    </xf>
    <xf numFmtId="0" fontId="0" fillId="31" borderId="0" xfId="0" applyFont="1" applyFill="1" applyBorder="1" applyAlignment="1" applyProtection="1">
      <alignment vertical="center"/>
      <protection hidden="1"/>
    </xf>
    <xf numFmtId="1" fontId="7" fillId="63" borderId="23" xfId="0" applyNumberFormat="1" applyFont="1" applyFill="1" applyBorder="1" applyAlignment="1" applyProtection="1">
      <alignment vertical="center"/>
      <protection hidden="1"/>
    </xf>
    <xf numFmtId="0" fontId="7" fillId="63" borderId="0" xfId="0" applyFont="1" applyFill="1" applyBorder="1" applyAlignment="1" applyProtection="1">
      <alignment vertical="center"/>
      <protection hidden="1"/>
    </xf>
    <xf numFmtId="249" fontId="7" fillId="0" borderId="23" xfId="0" applyNumberFormat="1" applyFont="1" applyFill="1" applyBorder="1" applyAlignment="1" applyProtection="1">
      <alignment vertical="center"/>
      <protection hidden="1"/>
    </xf>
    <xf numFmtId="252" fontId="33" fillId="51" borderId="0" xfId="0" applyNumberFormat="1" applyFont="1" applyFill="1" applyBorder="1" applyAlignment="1" applyProtection="1">
      <alignment horizontal="left" vertical="center"/>
      <protection hidden="1"/>
    </xf>
    <xf numFmtId="253" fontId="33" fillId="0" borderId="23" xfId="0" applyNumberFormat="1" applyFont="1" applyFill="1" applyBorder="1" applyAlignment="1" applyProtection="1">
      <alignment horizontal="center" vertical="center"/>
      <protection hidden="1"/>
    </xf>
    <xf numFmtId="1" fontId="7" fillId="63" borderId="34" xfId="0" applyNumberFormat="1" applyFont="1" applyFill="1" applyBorder="1" applyAlignment="1" applyProtection="1">
      <alignment vertical="center"/>
      <protection hidden="1"/>
    </xf>
    <xf numFmtId="187" fontId="7" fillId="0" borderId="23" xfId="0" applyNumberFormat="1" applyFont="1" applyFill="1" applyBorder="1" applyAlignment="1" applyProtection="1">
      <alignment vertical="center"/>
      <protection hidden="1"/>
    </xf>
    <xf numFmtId="0" fontId="12" fillId="63" borderId="0" xfId="0" applyFont="1" applyFill="1" applyBorder="1" applyAlignment="1" applyProtection="1">
      <alignment vertical="center"/>
      <protection hidden="1"/>
    </xf>
    <xf numFmtId="3" fontId="7" fillId="0" borderId="35" xfId="0" applyNumberFormat="1" applyFont="1" applyFill="1" applyBorder="1" applyAlignment="1" applyProtection="1">
      <alignment vertical="center"/>
      <protection hidden="1"/>
    </xf>
    <xf numFmtId="0" fontId="7" fillId="0" borderId="23" xfId="0" applyFont="1" applyFill="1" applyBorder="1" applyAlignment="1" applyProtection="1">
      <alignment vertical="center"/>
      <protection hidden="1"/>
    </xf>
    <xf numFmtId="0" fontId="12" fillId="31" borderId="0" xfId="0" applyFont="1" applyFill="1" applyBorder="1" applyAlignment="1" applyProtection="1">
      <alignment horizontal="centerContinuous" vertical="center"/>
      <protection hidden="1"/>
    </xf>
    <xf numFmtId="0" fontId="7" fillId="31" borderId="0" xfId="0" applyFont="1" applyFill="1" applyBorder="1" applyAlignment="1" applyProtection="1">
      <alignment horizontal="center" vertical="center"/>
      <protection hidden="1"/>
    </xf>
    <xf numFmtId="209" fontId="7" fillId="0" borderId="23" xfId="0" applyNumberFormat="1" applyFont="1" applyFill="1" applyBorder="1" applyAlignment="1" applyProtection="1">
      <alignment vertical="center"/>
      <protection hidden="1"/>
    </xf>
    <xf numFmtId="209" fontId="7" fillId="0" borderId="23" xfId="0" applyNumberFormat="1" applyFont="1" applyFill="1" applyBorder="1" applyAlignment="1" applyProtection="1">
      <alignment horizontal="center" vertical="center"/>
      <protection hidden="1"/>
    </xf>
    <xf numFmtId="0" fontId="7" fillId="0" borderId="31" xfId="0" applyFont="1" applyFill="1" applyBorder="1" applyAlignment="1" applyProtection="1">
      <alignment vertical="center"/>
      <protection hidden="1"/>
    </xf>
    <xf numFmtId="0" fontId="7" fillId="0" borderId="37" xfId="0" applyFont="1" applyFill="1" applyBorder="1" applyAlignment="1" applyProtection="1">
      <alignment vertical="center"/>
      <protection hidden="1"/>
    </xf>
    <xf numFmtId="0" fontId="7" fillId="0" borderId="23" xfId="0" applyFont="1" applyFill="1" applyBorder="1" applyAlignment="1" applyProtection="1">
      <alignment horizontal="centerContinuous" vertical="center"/>
      <protection hidden="1"/>
    </xf>
    <xf numFmtId="0" fontId="49" fillId="31" borderId="0" xfId="0" applyFont="1" applyFill="1" applyBorder="1" applyAlignment="1" applyProtection="1">
      <alignment horizontal="centerContinuous" vertical="center"/>
      <protection hidden="1"/>
    </xf>
    <xf numFmtId="0" fontId="63" fillId="51" borderId="0" xfId="0" applyFont="1" applyFill="1" applyBorder="1" applyAlignment="1" applyProtection="1">
      <alignment vertical="center"/>
      <protection hidden="1"/>
    </xf>
    <xf numFmtId="0" fontId="7" fillId="31" borderId="0" xfId="0" applyFont="1" applyFill="1" applyBorder="1" applyAlignment="1" applyProtection="1">
      <alignment horizontal="centerContinuous" vertical="center"/>
      <protection hidden="1"/>
    </xf>
    <xf numFmtId="173" fontId="64" fillId="0" borderId="23" xfId="0" applyNumberFormat="1" applyFont="1" applyFill="1" applyBorder="1" applyAlignment="1" applyProtection="1">
      <alignment vertical="center"/>
      <protection hidden="1"/>
    </xf>
    <xf numFmtId="173" fontId="28" fillId="0" borderId="23" xfId="0" applyNumberFormat="1" applyFont="1" applyFill="1" applyBorder="1" applyAlignment="1" applyProtection="1">
      <alignment vertical="center"/>
      <protection hidden="1"/>
    </xf>
    <xf numFmtId="0" fontId="0" fillId="0" borderId="23" xfId="0" applyFont="1" applyFill="1" applyBorder="1" applyAlignment="1" applyProtection="1">
      <alignment horizontal="center" vertical="center"/>
      <protection hidden="1"/>
    </xf>
    <xf numFmtId="9" fontId="7" fillId="0" borderId="23" xfId="0" applyNumberFormat="1" applyFont="1" applyFill="1" applyBorder="1" applyAlignment="1" applyProtection="1">
      <alignment vertical="center"/>
      <protection hidden="1"/>
    </xf>
    <xf numFmtId="0" fontId="0" fillId="0" borderId="0" xfId="0" applyFont="1" applyBorder="1" applyAlignment="1" applyProtection="1">
      <alignment vertical="center"/>
      <protection hidden="1"/>
    </xf>
    <xf numFmtId="209" fontId="33" fillId="0" borderId="0" xfId="0" applyNumberFormat="1" applyFont="1" applyBorder="1" applyAlignment="1" applyProtection="1">
      <alignment horizontal="center" vertical="center"/>
      <protection hidden="1"/>
    </xf>
    <xf numFmtId="1" fontId="12" fillId="31" borderId="0" xfId="0" applyNumberFormat="1" applyFont="1" applyFill="1" applyBorder="1" applyAlignment="1" applyProtection="1">
      <alignment horizontal="center" vertical="center"/>
      <protection hidden="1"/>
    </xf>
    <xf numFmtId="0" fontId="0" fillId="31" borderId="0" xfId="0" applyFont="1" applyFill="1" applyBorder="1" applyAlignment="1" applyProtection="1">
      <alignment horizontal="center" vertical="center"/>
      <protection hidden="1"/>
    </xf>
    <xf numFmtId="0" fontId="0" fillId="51" borderId="0" xfId="0" applyFont="1" applyFill="1" applyBorder="1" applyAlignment="1" applyProtection="1">
      <alignment vertical="center"/>
      <protection hidden="1"/>
    </xf>
    <xf numFmtId="248" fontId="7" fillId="0" borderId="23" xfId="0" applyNumberFormat="1" applyFont="1" applyFill="1" applyBorder="1" applyAlignment="1" applyProtection="1">
      <alignment horizontal="center" vertical="center"/>
      <protection hidden="1"/>
    </xf>
    <xf numFmtId="4" fontId="64" fillId="0" borderId="23" xfId="0" applyNumberFormat="1" applyFont="1" applyFill="1" applyBorder="1" applyAlignment="1" applyProtection="1">
      <alignment horizontal="center" vertical="center"/>
      <protection hidden="1"/>
    </xf>
    <xf numFmtId="4" fontId="64" fillId="0" borderId="31" xfId="0" applyNumberFormat="1" applyFont="1" applyFill="1" applyBorder="1" applyAlignment="1" applyProtection="1">
      <alignment horizontal="center" vertical="center"/>
      <protection hidden="1"/>
    </xf>
    <xf numFmtId="4" fontId="7" fillId="38" borderId="32" xfId="0" applyNumberFormat="1" applyFont="1" applyFill="1" applyBorder="1" applyAlignment="1" applyProtection="1">
      <alignment horizontal="center" vertical="center"/>
      <protection locked="0"/>
    </xf>
    <xf numFmtId="4" fontId="64" fillId="0" borderId="37" xfId="0" applyNumberFormat="1" applyFont="1" applyFill="1" applyBorder="1" applyAlignment="1" applyProtection="1">
      <alignment horizontal="center" vertical="center"/>
      <protection hidden="1"/>
    </xf>
    <xf numFmtId="4" fontId="64" fillId="61" borderId="23" xfId="0" applyNumberFormat="1" applyFont="1" applyFill="1" applyBorder="1" applyAlignment="1" applyProtection="1">
      <alignment horizontal="center" vertical="center"/>
      <protection hidden="1"/>
    </xf>
    <xf numFmtId="4" fontId="64" fillId="61" borderId="31" xfId="0" applyNumberFormat="1" applyFont="1" applyFill="1" applyBorder="1" applyAlignment="1" applyProtection="1">
      <alignment horizontal="center" vertical="center"/>
      <protection hidden="1"/>
    </xf>
    <xf numFmtId="4" fontId="7" fillId="50" borderId="32" xfId="0" applyNumberFormat="1" applyFont="1" applyFill="1" applyBorder="1" applyAlignment="1" applyProtection="1">
      <alignment horizontal="center" vertical="center"/>
      <protection locked="0"/>
    </xf>
    <xf numFmtId="4" fontId="64" fillId="61" borderId="37"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173" fontId="7" fillId="0" borderId="37" xfId="0" applyNumberFormat="1" applyFont="1" applyFill="1" applyBorder="1" applyAlignment="1" applyProtection="1">
      <alignment horizontal="center" vertical="center"/>
      <protection hidden="1"/>
    </xf>
    <xf numFmtId="248" fontId="7" fillId="0" borderId="36" xfId="0" applyNumberFormat="1" applyFont="1" applyFill="1" applyBorder="1" applyAlignment="1" applyProtection="1">
      <alignment horizontal="center" vertical="center"/>
      <protection hidden="1"/>
    </xf>
    <xf numFmtId="173" fontId="7" fillId="0" borderId="23" xfId="0" applyNumberFormat="1" applyFont="1" applyFill="1" applyBorder="1" applyAlignment="1" applyProtection="1">
      <alignment horizontal="center" vertical="center"/>
      <protection hidden="1"/>
    </xf>
    <xf numFmtId="0" fontId="7" fillId="0" borderId="23" xfId="0" applyFont="1" applyFill="1" applyBorder="1" applyAlignment="1" applyProtection="1">
      <alignment horizontal="center" vertical="center"/>
      <protection hidden="1"/>
    </xf>
    <xf numFmtId="0" fontId="7" fillId="0" borderId="34" xfId="0" applyFont="1" applyFill="1" applyBorder="1" applyAlignment="1" applyProtection="1">
      <alignment horizontal="center" vertical="center"/>
      <protection hidden="1"/>
    </xf>
    <xf numFmtId="173" fontId="7" fillId="0" borderId="34" xfId="0" applyNumberFormat="1" applyFont="1" applyFill="1" applyBorder="1" applyAlignment="1" applyProtection="1">
      <alignment horizontal="center" vertical="center"/>
      <protection hidden="1"/>
    </xf>
    <xf numFmtId="0" fontId="7" fillId="0" borderId="36" xfId="0" applyFont="1" applyFill="1" applyBorder="1" applyAlignment="1" applyProtection="1">
      <alignment horizontal="center" vertical="center"/>
      <protection hidden="1"/>
    </xf>
    <xf numFmtId="173" fontId="7" fillId="0" borderId="36" xfId="0" applyNumberFormat="1" applyFont="1" applyFill="1" applyBorder="1" applyAlignment="1" applyProtection="1">
      <alignment horizontal="center" vertical="center"/>
      <protection hidden="1"/>
    </xf>
    <xf numFmtId="2" fontId="7" fillId="63" borderId="0" xfId="0" applyNumberFormat="1" applyFont="1" applyFill="1" applyBorder="1" applyAlignment="1" applyProtection="1">
      <alignment horizontal="center" vertical="center"/>
      <protection hidden="1"/>
    </xf>
    <xf numFmtId="4" fontId="64" fillId="27" borderId="23" xfId="0" applyNumberFormat="1" applyFont="1" applyFill="1" applyBorder="1" applyAlignment="1" applyProtection="1">
      <alignment horizontal="center" vertical="center"/>
      <protection hidden="1"/>
    </xf>
    <xf numFmtId="4" fontId="64" fillId="27" borderId="31" xfId="0" applyNumberFormat="1" applyFont="1" applyFill="1" applyBorder="1" applyAlignment="1" applyProtection="1">
      <alignment horizontal="center" vertical="center"/>
      <protection hidden="1"/>
    </xf>
    <xf numFmtId="4" fontId="7" fillId="62" borderId="32" xfId="0" applyNumberFormat="1" applyFont="1" applyFill="1" applyBorder="1" applyAlignment="1" applyProtection="1">
      <alignment horizontal="center" vertical="center"/>
      <protection locked="0"/>
    </xf>
    <xf numFmtId="4" fontId="64" fillId="27" borderId="37" xfId="0" applyNumberFormat="1" applyFont="1" applyFill="1" applyBorder="1" applyAlignment="1" applyProtection="1">
      <alignment horizontal="center" vertical="center"/>
      <protection hidden="1"/>
    </xf>
    <xf numFmtId="204" fontId="33" fillId="0" borderId="23" xfId="0" applyNumberFormat="1" applyFont="1" applyFill="1" applyBorder="1" applyAlignment="1" applyProtection="1">
      <alignment horizontal="center" vertical="center"/>
      <protection hidden="1"/>
    </xf>
    <xf numFmtId="203" fontId="7" fillId="0" borderId="37" xfId="0" applyNumberFormat="1" applyFont="1" applyFill="1" applyBorder="1" applyAlignment="1" applyProtection="1">
      <alignment horizontal="center" vertical="center"/>
      <protection hidden="1"/>
    </xf>
    <xf numFmtId="0" fontId="12" fillId="51" borderId="0" xfId="0" applyFont="1" applyFill="1" applyBorder="1" applyAlignment="1" applyProtection="1">
      <alignment horizontal="center" vertical="center"/>
      <protection hidden="1"/>
    </xf>
    <xf numFmtId="250" fontId="7" fillId="0" borderId="23" xfId="0" applyNumberFormat="1" applyFont="1" applyFill="1" applyBorder="1" applyAlignment="1" applyProtection="1">
      <alignment horizontal="center" vertical="center"/>
      <protection hidden="1"/>
    </xf>
    <xf numFmtId="1" fontId="64" fillId="0" borderId="0" xfId="0" applyNumberFormat="1" applyFont="1" applyFill="1" applyBorder="1" applyAlignment="1" applyProtection="1">
      <alignment horizontal="center" vertical="center"/>
      <protection hidden="1"/>
    </xf>
    <xf numFmtId="1" fontId="7" fillId="0" borderId="0" xfId="0" applyNumberFormat="1" applyFont="1" applyFill="1" applyBorder="1" applyAlignment="1" applyProtection="1">
      <alignment horizontal="center" vertical="center"/>
      <protection hidden="1"/>
    </xf>
    <xf numFmtId="250" fontId="7" fillId="0" borderId="34" xfId="0" applyNumberFormat="1" applyFont="1" applyFill="1" applyBorder="1" applyAlignment="1" applyProtection="1">
      <alignment horizontal="center" vertical="center"/>
      <protection hidden="1"/>
    </xf>
    <xf numFmtId="0" fontId="12" fillId="51" borderId="0" xfId="0" applyFont="1" applyFill="1" applyBorder="1" applyAlignment="1" applyProtection="1">
      <alignment horizontal="right" vertical="center"/>
      <protection hidden="1"/>
    </xf>
    <xf numFmtId="0" fontId="7" fillId="32" borderId="0" xfId="0" applyFont="1" applyFill="1" applyBorder="1" applyAlignment="1" applyProtection="1">
      <alignment vertical="center"/>
      <protection hidden="1"/>
    </xf>
    <xf numFmtId="0" fontId="12" fillId="32" borderId="0" xfId="0" applyFont="1" applyFill="1" applyBorder="1" applyAlignment="1" applyProtection="1">
      <alignment horizontal="right" vertical="center"/>
      <protection hidden="1"/>
    </xf>
    <xf numFmtId="4" fontId="64" fillId="32" borderId="23" xfId="0" applyNumberFormat="1" applyFont="1" applyFill="1" applyBorder="1" applyAlignment="1" applyProtection="1">
      <alignment horizontal="center" vertical="center"/>
      <protection hidden="1"/>
    </xf>
    <xf numFmtId="4" fontId="64" fillId="32" borderId="31" xfId="0" applyNumberFormat="1" applyFont="1" applyFill="1" applyBorder="1" applyAlignment="1" applyProtection="1">
      <alignment horizontal="center" vertical="center"/>
      <protection hidden="1"/>
    </xf>
    <xf numFmtId="4" fontId="7" fillId="35" borderId="32" xfId="0" applyNumberFormat="1" applyFont="1" applyFill="1" applyBorder="1" applyAlignment="1" applyProtection="1">
      <alignment horizontal="center" vertical="center"/>
      <protection locked="0"/>
    </xf>
    <xf numFmtId="4" fontId="64" fillId="32" borderId="37" xfId="0" applyNumberFormat="1" applyFont="1" applyFill="1" applyBorder="1" applyAlignment="1" applyProtection="1">
      <alignment horizontal="center" vertical="center"/>
      <protection hidden="1"/>
    </xf>
    <xf numFmtId="0" fontId="0" fillId="63" borderId="0" xfId="0" applyFont="1" applyFill="1" applyBorder="1" applyAlignment="1" applyProtection="1">
      <alignment horizontal="justify" wrapText="1"/>
      <protection hidden="1"/>
    </xf>
    <xf numFmtId="0" fontId="0" fillId="63" borderId="0" xfId="0" applyFont="1" applyFill="1" applyBorder="1" applyAlignment="1" applyProtection="1">
      <alignment horizontal="justify" vertical="center" wrapText="1"/>
      <protection hidden="1"/>
    </xf>
    <xf numFmtId="0" fontId="66" fillId="54" borderId="0" xfId="0" applyFont="1" applyFill="1" applyAlignment="1" applyProtection="1">
      <alignment horizontal="left" vertical="center"/>
      <protection hidden="1"/>
    </xf>
    <xf numFmtId="0" fontId="9" fillId="54" borderId="0" xfId="0" applyFont="1" applyFill="1" applyAlignment="1" applyProtection="1">
      <alignment horizontal="left" vertical="center" wrapText="1"/>
      <protection hidden="1"/>
    </xf>
    <xf numFmtId="0" fontId="12" fillId="54" borderId="0" xfId="0" applyFont="1" applyFill="1" applyAlignment="1" applyProtection="1">
      <alignment horizontal="left" vertical="center"/>
      <protection hidden="1"/>
    </xf>
    <xf numFmtId="0" fontId="54" fillId="54" borderId="0" xfId="0" applyFont="1" applyFill="1" applyAlignment="1" applyProtection="1">
      <alignment horizontal="left" vertical="center"/>
      <protection hidden="1"/>
    </xf>
    <xf numFmtId="0" fontId="54" fillId="54" borderId="0" xfId="0" applyFont="1" applyFill="1" applyAlignment="1" applyProtection="1">
      <alignment horizontal="left" vertical="center" wrapText="1"/>
      <protection hidden="1"/>
    </xf>
    <xf numFmtId="0" fontId="3" fillId="31" borderId="0" xfId="0" applyFont="1" applyFill="1" applyBorder="1" applyAlignment="1" applyProtection="1">
      <alignment horizontal="center" vertical="center"/>
      <protection hidden="1"/>
    </xf>
    <xf numFmtId="0" fontId="7" fillId="31" borderId="38" xfId="0" applyFont="1" applyFill="1" applyBorder="1" applyAlignment="1" applyProtection="1">
      <alignment horizontal="left" vertical="center" indent="4"/>
      <protection hidden="1"/>
    </xf>
    <xf numFmtId="0" fontId="7" fillId="31" borderId="0" xfId="0" applyFont="1" applyFill="1" applyBorder="1" applyAlignment="1" applyProtection="1">
      <alignment horizontal="left" vertical="center" wrapText="1" indent="4"/>
      <protection hidden="1"/>
    </xf>
    <xf numFmtId="0" fontId="46" fillId="31" borderId="39" xfId="0" applyFont="1" applyFill="1" applyBorder="1" applyAlignment="1" applyProtection="1">
      <alignment horizontal="centerContinuous" vertical="center"/>
      <protection hidden="1"/>
    </xf>
    <xf numFmtId="0" fontId="46" fillId="31" borderId="0" xfId="0" applyFont="1" applyFill="1" applyBorder="1" applyAlignment="1" applyProtection="1">
      <alignment vertical="center"/>
      <protection hidden="1"/>
    </xf>
    <xf numFmtId="0" fontId="46" fillId="31" borderId="39" xfId="0" applyFont="1" applyFill="1" applyBorder="1" applyAlignment="1" applyProtection="1">
      <alignment horizontal="center" vertical="center"/>
      <protection hidden="1"/>
    </xf>
    <xf numFmtId="0" fontId="7" fillId="31" borderId="0" xfId="0" applyFont="1" applyFill="1" applyBorder="1" applyAlignment="1" applyProtection="1">
      <alignment horizontal="left" vertical="center" indent="4"/>
      <protection hidden="1"/>
    </xf>
    <xf numFmtId="0" fontId="12" fillId="31" borderId="0" xfId="0" applyFont="1" applyFill="1" applyBorder="1" applyAlignment="1" applyProtection="1">
      <alignment horizontal="centerContinuous" vertical="center" wrapText="1"/>
      <protection hidden="1"/>
    </xf>
    <xf numFmtId="0" fontId="46" fillId="31" borderId="40" xfId="0" applyFont="1" applyFill="1" applyBorder="1" applyAlignment="1" applyProtection="1">
      <alignment horizontal="centerContinuous" vertical="center"/>
      <protection hidden="1"/>
    </xf>
    <xf numFmtId="0" fontId="7" fillId="0" borderId="0" xfId="0" applyFont="1" applyBorder="1" applyAlignment="1" applyProtection="1">
      <alignment/>
      <protection hidden="1"/>
    </xf>
    <xf numFmtId="0" fontId="12" fillId="31" borderId="0" xfId="0" applyFont="1" applyFill="1" applyBorder="1" applyAlignment="1" applyProtection="1">
      <alignment horizontal="centerContinuous"/>
      <protection hidden="1"/>
    </xf>
    <xf numFmtId="0" fontId="49" fillId="34" borderId="0" xfId="0" applyFont="1" applyFill="1" applyBorder="1" applyAlignment="1" applyProtection="1">
      <alignment vertical="center"/>
      <protection hidden="1"/>
    </xf>
    <xf numFmtId="0" fontId="7" fillId="34" borderId="0" xfId="0" applyFont="1" applyFill="1" applyBorder="1" applyAlignment="1" applyProtection="1">
      <alignment vertical="center"/>
      <protection hidden="1"/>
    </xf>
    <xf numFmtId="0" fontId="68" fillId="51" borderId="0" xfId="0" applyFont="1" applyFill="1" applyBorder="1" applyAlignment="1" applyProtection="1">
      <alignment vertical="center"/>
      <protection hidden="1"/>
    </xf>
    <xf numFmtId="4" fontId="7" fillId="0" borderId="23" xfId="0" applyNumberFormat="1" applyFont="1" applyFill="1" applyBorder="1" applyAlignment="1" applyProtection="1">
      <alignment horizontal="center" vertical="center"/>
      <protection hidden="1"/>
    </xf>
    <xf numFmtId="0" fontId="12" fillId="34" borderId="0" xfId="0" applyFont="1" applyFill="1" applyBorder="1" applyAlignment="1" applyProtection="1">
      <alignment horizontal="center" vertical="center"/>
      <protection hidden="1"/>
    </xf>
    <xf numFmtId="197" fontId="12" fillId="51" borderId="0" xfId="0" applyNumberFormat="1" applyFont="1" applyFill="1" applyBorder="1" applyAlignment="1" applyProtection="1">
      <alignment horizontal="center" vertical="center"/>
      <protection hidden="1"/>
    </xf>
    <xf numFmtId="0" fontId="12" fillId="61" borderId="0" xfId="0" applyFont="1" applyFill="1" applyBorder="1" applyAlignment="1" applyProtection="1">
      <alignment horizontal="centerContinuous" vertical="center"/>
      <protection hidden="1"/>
    </xf>
    <xf numFmtId="2" fontId="12" fillId="61" borderId="0" xfId="0" applyNumberFormat="1" applyFont="1" applyFill="1" applyBorder="1" applyAlignment="1" applyProtection="1">
      <alignment horizontal="center" vertical="center"/>
      <protection hidden="1"/>
    </xf>
    <xf numFmtId="4" fontId="12" fillId="50" borderId="32" xfId="0" applyNumberFormat="1" applyFont="1" applyFill="1" applyBorder="1" applyAlignment="1" applyProtection="1">
      <alignment horizontal="center" vertical="center"/>
      <protection locked="0"/>
    </xf>
    <xf numFmtId="9" fontId="12" fillId="51" borderId="0" xfId="0" applyNumberFormat="1" applyFont="1" applyFill="1" applyBorder="1" applyAlignment="1" applyProtection="1">
      <alignment horizontal="center" vertical="center"/>
      <protection hidden="1"/>
    </xf>
    <xf numFmtId="210" fontId="49" fillId="60" borderId="0" xfId="0" applyNumberFormat="1" applyFont="1" applyFill="1" applyBorder="1" applyAlignment="1" applyProtection="1">
      <alignment horizontal="left" vertical="center"/>
      <protection hidden="1"/>
    </xf>
    <xf numFmtId="3" fontId="49" fillId="60" borderId="0" xfId="0" applyNumberFormat="1" applyFont="1" applyFill="1" applyBorder="1" applyAlignment="1" applyProtection="1">
      <alignment horizontal="left" vertical="center"/>
      <protection hidden="1"/>
    </xf>
    <xf numFmtId="4" fontId="49" fillId="62" borderId="3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hidden="1"/>
    </xf>
    <xf numFmtId="0" fontId="49" fillId="31" borderId="0" xfId="0" applyFont="1" applyFill="1" applyBorder="1" applyAlignment="1" applyProtection="1">
      <alignment vertical="center"/>
      <protection hidden="1"/>
    </xf>
    <xf numFmtId="3" fontId="12" fillId="51" borderId="0" xfId="0" applyNumberFormat="1" applyFont="1" applyFill="1" applyBorder="1" applyAlignment="1" applyProtection="1">
      <alignment horizontal="center" vertical="center"/>
      <protection hidden="1"/>
    </xf>
    <xf numFmtId="211" fontId="12" fillId="51" borderId="0" xfId="0" applyNumberFormat="1" applyFont="1" applyFill="1" applyBorder="1" applyAlignment="1" applyProtection="1">
      <alignment horizontal="left" vertical="center"/>
      <protection hidden="1"/>
    </xf>
    <xf numFmtId="212" fontId="56" fillId="51" borderId="0" xfId="0" applyNumberFormat="1" applyFont="1" applyFill="1" applyBorder="1" applyAlignment="1" applyProtection="1">
      <alignment horizontal="center" vertical="center"/>
      <protection hidden="1"/>
    </xf>
    <xf numFmtId="214" fontId="12" fillId="31" borderId="0" xfId="0" applyNumberFormat="1" applyFont="1" applyFill="1" applyBorder="1" applyAlignment="1" applyProtection="1">
      <alignment vertical="center"/>
      <protection hidden="1"/>
    </xf>
    <xf numFmtId="215" fontId="7" fillId="31" borderId="0" xfId="0" applyNumberFormat="1" applyFont="1" applyFill="1" applyBorder="1" applyAlignment="1" applyProtection="1">
      <alignment horizontal="left" vertical="center"/>
      <protection hidden="1"/>
    </xf>
    <xf numFmtId="0" fontId="49" fillId="51" borderId="0" xfId="0" applyFont="1" applyFill="1" applyBorder="1" applyAlignment="1" applyProtection="1">
      <alignment vertical="center"/>
      <protection hidden="1"/>
    </xf>
    <xf numFmtId="0" fontId="7" fillId="31" borderId="0" xfId="0" applyFont="1" applyFill="1" applyBorder="1" applyAlignment="1" applyProtection="1">
      <alignment horizontal="center"/>
      <protection hidden="1"/>
    </xf>
    <xf numFmtId="0" fontId="7" fillId="31" borderId="0" xfId="0" applyFont="1" applyFill="1" applyBorder="1" applyAlignment="1" applyProtection="1">
      <alignment vertical="center" wrapText="1"/>
      <protection hidden="1"/>
    </xf>
    <xf numFmtId="0" fontId="46" fillId="31" borderId="0" xfId="0" applyFont="1" applyFill="1" applyBorder="1" applyAlignment="1" applyProtection="1">
      <alignment horizontal="center" vertical="center"/>
      <protection hidden="1"/>
    </xf>
    <xf numFmtId="0" fontId="39" fillId="31" borderId="0" xfId="0" applyFont="1" applyFill="1" applyBorder="1" applyAlignment="1" applyProtection="1">
      <alignment horizontal="center" vertical="center"/>
      <protection hidden="1"/>
    </xf>
    <xf numFmtId="216" fontId="12" fillId="51" borderId="0" xfId="0" applyNumberFormat="1" applyFont="1" applyFill="1" applyBorder="1" applyAlignment="1" applyProtection="1">
      <alignment vertical="center"/>
      <protection hidden="1"/>
    </xf>
    <xf numFmtId="175" fontId="7" fillId="0" borderId="34" xfId="0" applyNumberFormat="1" applyFont="1" applyFill="1" applyBorder="1" applyAlignment="1" applyProtection="1">
      <alignment horizontal="center" vertical="center"/>
      <protection hidden="1"/>
    </xf>
    <xf numFmtId="0" fontId="19" fillId="54" borderId="0" xfId="0" applyFont="1" applyFill="1" applyAlignment="1" applyProtection="1">
      <alignment horizontal="left" vertical="center"/>
      <protection hidden="1"/>
    </xf>
    <xf numFmtId="0" fontId="46" fillId="54" borderId="0" xfId="0" applyFont="1" applyFill="1" applyAlignment="1" applyProtection="1">
      <alignment horizontal="left" vertical="center"/>
      <protection hidden="1"/>
    </xf>
    <xf numFmtId="218" fontId="46" fillId="31" borderId="39" xfId="0" applyNumberFormat="1" applyFont="1" applyFill="1" applyBorder="1" applyAlignment="1" applyProtection="1">
      <alignment horizontal="center" vertical="center"/>
      <protection hidden="1"/>
    </xf>
    <xf numFmtId="218" fontId="46" fillId="31" borderId="0" xfId="0" applyNumberFormat="1" applyFont="1" applyFill="1" applyBorder="1" applyAlignment="1" applyProtection="1">
      <alignment horizontal="center" vertical="center"/>
      <protection hidden="1"/>
    </xf>
    <xf numFmtId="3" fontId="12" fillId="50" borderId="32" xfId="0" applyNumberFormat="1" applyFont="1" applyFill="1" applyBorder="1" applyAlignment="1" applyProtection="1">
      <alignment horizontal="center" vertical="center"/>
      <protection locked="0"/>
    </xf>
    <xf numFmtId="195" fontId="12" fillId="35" borderId="32" xfId="0" applyNumberFormat="1" applyFont="1" applyFill="1" applyBorder="1" applyAlignment="1" applyProtection="1">
      <alignment horizontal="center" vertical="center"/>
      <protection locked="0"/>
    </xf>
    <xf numFmtId="0" fontId="19" fillId="54" borderId="0" xfId="112" applyFont="1" applyFill="1" applyBorder="1" applyAlignment="1" applyProtection="1">
      <alignment vertical="center"/>
      <protection hidden="1"/>
    </xf>
    <xf numFmtId="0" fontId="9" fillId="54" borderId="0" xfId="112" applyFont="1" applyFill="1" applyBorder="1" applyAlignment="1" applyProtection="1">
      <alignment horizontal="right" vertical="center"/>
      <protection hidden="1"/>
    </xf>
    <xf numFmtId="0" fontId="9" fillId="54" borderId="0" xfId="112" applyFont="1" applyFill="1" applyBorder="1" applyAlignment="1" applyProtection="1">
      <alignment vertical="center"/>
      <protection hidden="1"/>
    </xf>
    <xf numFmtId="0" fontId="69" fillId="54" borderId="0" xfId="112" applyFont="1" applyFill="1" applyBorder="1" applyAlignment="1" applyProtection="1">
      <alignment vertical="center"/>
      <protection hidden="1"/>
    </xf>
    <xf numFmtId="0" fontId="19" fillId="60" borderId="0" xfId="112" applyFont="1" applyFill="1" applyBorder="1" applyAlignment="1" applyProtection="1">
      <alignment vertical="center"/>
      <protection hidden="1"/>
    </xf>
    <xf numFmtId="0" fontId="4" fillId="0" borderId="0" xfId="112" applyFill="1" applyAlignment="1" applyProtection="1">
      <alignment vertical="center"/>
      <protection hidden="1"/>
    </xf>
    <xf numFmtId="0" fontId="33" fillId="0" borderId="0" xfId="112" applyFont="1" applyFill="1" applyAlignment="1" applyProtection="1">
      <alignment/>
      <protection hidden="1"/>
    </xf>
    <xf numFmtId="0" fontId="4" fillId="60" borderId="0" xfId="112" applyFill="1" applyAlignment="1" applyProtection="1">
      <alignment vertical="center"/>
      <protection hidden="1"/>
    </xf>
    <xf numFmtId="0" fontId="0" fillId="0" borderId="0" xfId="112" applyFont="1" applyFill="1" applyAlignment="1" applyProtection="1">
      <alignment vertical="center"/>
      <protection hidden="1"/>
    </xf>
    <xf numFmtId="0" fontId="1" fillId="31" borderId="0" xfId="112" applyFont="1" applyFill="1" applyAlignment="1" applyProtection="1">
      <alignment vertical="center"/>
      <protection hidden="1"/>
    </xf>
    <xf numFmtId="0" fontId="0" fillId="60" borderId="0" xfId="112" applyFont="1" applyFill="1" applyAlignment="1" applyProtection="1">
      <alignment vertical="center"/>
      <protection hidden="1"/>
    </xf>
    <xf numFmtId="0" fontId="0" fillId="0" borderId="0" xfId="112" applyFont="1" applyFill="1" applyAlignment="1" applyProtection="1">
      <alignment vertical="center"/>
      <protection locked="0"/>
    </xf>
    <xf numFmtId="0" fontId="0" fillId="51" borderId="0" xfId="112" applyFont="1" applyFill="1" applyAlignment="1" applyProtection="1">
      <alignment vertical="center"/>
      <protection hidden="1"/>
    </xf>
    <xf numFmtId="178" fontId="0" fillId="0" borderId="31" xfId="112" applyNumberFormat="1" applyFont="1" applyFill="1" applyBorder="1" applyAlignment="1" applyProtection="1">
      <alignment vertical="center"/>
      <protection hidden="1"/>
    </xf>
    <xf numFmtId="0" fontId="0" fillId="0" borderId="31" xfId="112" applyFont="1" applyFill="1" applyBorder="1" applyAlignment="1" applyProtection="1">
      <alignment vertical="center"/>
      <protection hidden="1"/>
    </xf>
    <xf numFmtId="185" fontId="0" fillId="0" borderId="31" xfId="112" applyNumberFormat="1" applyFont="1" applyFill="1" applyBorder="1" applyAlignment="1" applyProtection="1">
      <alignment vertical="center"/>
      <protection hidden="1"/>
    </xf>
    <xf numFmtId="186" fontId="0" fillId="0" borderId="41" xfId="112" applyNumberFormat="1" applyFont="1" applyFill="1" applyBorder="1" applyAlignment="1" applyProtection="1">
      <alignment vertical="center"/>
      <protection hidden="1"/>
    </xf>
    <xf numFmtId="185" fontId="1" fillId="38" borderId="32" xfId="112" applyNumberFormat="1" applyFont="1" applyFill="1" applyBorder="1" applyAlignment="1" applyProtection="1">
      <alignment vertical="center"/>
      <protection locked="0"/>
    </xf>
    <xf numFmtId="0" fontId="0" fillId="0" borderId="42" xfId="112" applyFont="1" applyFill="1" applyBorder="1" applyAlignment="1" applyProtection="1">
      <alignment vertical="center"/>
      <protection hidden="1"/>
    </xf>
    <xf numFmtId="174" fontId="1" fillId="38" borderId="32" xfId="112" applyNumberFormat="1" applyFont="1" applyFill="1" applyBorder="1" applyAlignment="1" applyProtection="1">
      <alignment vertical="center"/>
      <protection locked="0"/>
    </xf>
    <xf numFmtId="0" fontId="4" fillId="0" borderId="0" xfId="112" applyFill="1" applyAlignment="1" applyProtection="1">
      <alignment vertical="center"/>
      <protection locked="0"/>
    </xf>
    <xf numFmtId="0" fontId="46" fillId="31" borderId="0" xfId="112" applyFont="1" applyFill="1" applyAlignment="1" applyProtection="1">
      <alignment horizontal="center" vertical="center"/>
      <protection hidden="1"/>
    </xf>
    <xf numFmtId="0" fontId="71" fillId="31" borderId="0" xfId="112" applyFont="1" applyFill="1" applyAlignment="1" applyProtection="1">
      <alignment vertical="center"/>
      <protection hidden="1"/>
    </xf>
    <xf numFmtId="182" fontId="0" fillId="0" borderId="31" xfId="112" applyNumberFormat="1" applyFont="1" applyBorder="1" applyAlignment="1" applyProtection="1">
      <alignment vertical="center"/>
      <protection hidden="1"/>
    </xf>
    <xf numFmtId="178" fontId="0" fillId="0" borderId="21" xfId="112" applyNumberFormat="1" applyFont="1" applyFill="1" applyBorder="1" applyAlignment="1" applyProtection="1">
      <alignment vertical="center"/>
      <protection hidden="1"/>
    </xf>
    <xf numFmtId="184" fontId="0" fillId="0" borderId="31" xfId="105" applyNumberFormat="1" applyFont="1" applyFill="1" applyBorder="1" applyAlignment="1" applyProtection="1">
      <alignment vertical="center"/>
      <protection hidden="1"/>
    </xf>
    <xf numFmtId="4" fontId="0" fillId="0" borderId="0" xfId="112" applyNumberFormat="1" applyFont="1" applyFill="1" applyAlignment="1" applyProtection="1">
      <alignment vertical="center"/>
      <protection hidden="1"/>
    </xf>
    <xf numFmtId="4" fontId="0" fillId="60" borderId="0" xfId="112" applyNumberFormat="1" applyFont="1" applyFill="1" applyAlignment="1" applyProtection="1">
      <alignment vertical="center"/>
      <protection hidden="1"/>
    </xf>
    <xf numFmtId="178" fontId="0" fillId="0" borderId="12" xfId="112" applyNumberFormat="1" applyFont="1" applyFill="1" applyBorder="1" applyAlignment="1" applyProtection="1">
      <alignment vertical="center"/>
      <protection hidden="1"/>
    </xf>
    <xf numFmtId="0" fontId="1" fillId="61" borderId="0" xfId="112" applyFont="1" applyFill="1" applyAlignment="1" applyProtection="1">
      <alignment vertical="center"/>
      <protection hidden="1"/>
    </xf>
    <xf numFmtId="0" fontId="1" fillId="61" borderId="0" xfId="112" applyFont="1" applyFill="1" applyAlignment="1" applyProtection="1">
      <alignment horizontal="right" vertical="center"/>
      <protection hidden="1"/>
    </xf>
    <xf numFmtId="178" fontId="1" fillId="50" borderId="32" xfId="112" applyNumberFormat="1" applyFont="1" applyFill="1" applyBorder="1" applyAlignment="1" applyProtection="1">
      <alignment vertical="center"/>
      <protection locked="0"/>
    </xf>
    <xf numFmtId="174" fontId="0" fillId="0" borderId="34" xfId="112" applyNumberFormat="1" applyFont="1" applyFill="1" applyBorder="1" applyAlignment="1" applyProtection="1">
      <alignment vertical="center"/>
      <protection hidden="1"/>
    </xf>
    <xf numFmtId="178" fontId="1" fillId="38" borderId="32" xfId="112" applyNumberFormat="1" applyFont="1" applyFill="1" applyBorder="1" applyAlignment="1" applyProtection="1">
      <alignment vertical="center"/>
      <protection locked="0"/>
    </xf>
    <xf numFmtId="183" fontId="0" fillId="51" borderId="0" xfId="112" applyNumberFormat="1" applyFont="1" applyFill="1" applyAlignment="1" applyProtection="1">
      <alignment horizontal="left" vertical="center"/>
      <protection hidden="1"/>
    </xf>
    <xf numFmtId="189" fontId="1" fillId="38" borderId="32" xfId="112" applyNumberFormat="1" applyFont="1" applyFill="1" applyBorder="1" applyAlignment="1" applyProtection="1">
      <alignment vertical="center"/>
      <protection locked="0"/>
    </xf>
    <xf numFmtId="0" fontId="0" fillId="61" borderId="0" xfId="112" applyFont="1" applyFill="1" applyAlignment="1" applyProtection="1">
      <alignment vertical="center"/>
      <protection hidden="1"/>
    </xf>
    <xf numFmtId="0" fontId="0" fillId="27" borderId="0" xfId="112" applyFont="1" applyFill="1" applyAlignment="1" applyProtection="1">
      <alignment vertical="center"/>
      <protection hidden="1"/>
    </xf>
    <xf numFmtId="0" fontId="1" fillId="32" borderId="0" xfId="112" applyFont="1" applyFill="1" applyAlignment="1" applyProtection="1">
      <alignment vertical="center"/>
      <protection hidden="1"/>
    </xf>
    <xf numFmtId="174" fontId="1" fillId="50" borderId="32" xfId="112" applyNumberFormat="1" applyFont="1" applyFill="1" applyBorder="1" applyAlignment="1" applyProtection="1">
      <alignment vertical="center"/>
      <protection locked="0"/>
    </xf>
    <xf numFmtId="0" fontId="4" fillId="0" borderId="0" xfId="112" applyFill="1" applyProtection="1">
      <alignment/>
      <protection locked="0"/>
    </xf>
    <xf numFmtId="0" fontId="4" fillId="0" borderId="0" xfId="112" applyFill="1" applyProtection="1">
      <alignment/>
      <protection hidden="1"/>
    </xf>
    <xf numFmtId="0" fontId="4" fillId="60" borderId="0" xfId="112" applyFill="1" applyProtection="1">
      <alignment/>
      <protection hidden="1"/>
    </xf>
    <xf numFmtId="240" fontId="9" fillId="54" borderId="0" xfId="111" applyNumberFormat="1" applyFont="1" applyFill="1" applyBorder="1" applyAlignment="1" applyProtection="1">
      <alignment vertical="center"/>
      <protection hidden="1"/>
    </xf>
    <xf numFmtId="0" fontId="7" fillId="0" borderId="0" xfId="111" applyFont="1" applyBorder="1" applyProtection="1">
      <alignment/>
      <protection hidden="1"/>
    </xf>
    <xf numFmtId="0" fontId="7" fillId="0" borderId="0" xfId="111" applyFont="1" applyBorder="1" applyAlignment="1" applyProtection="1">
      <alignment vertical="center"/>
      <protection hidden="1"/>
    </xf>
    <xf numFmtId="0" fontId="12" fillId="31" borderId="0" xfId="111" applyFont="1" applyFill="1" applyBorder="1" applyAlignment="1" applyProtection="1">
      <alignment vertical="center"/>
      <protection hidden="1"/>
    </xf>
    <xf numFmtId="0" fontId="12" fillId="0" borderId="31" xfId="111" applyFont="1" applyFill="1" applyBorder="1" applyAlignment="1" applyProtection="1">
      <alignment horizontal="left" vertical="center" indent="1"/>
      <protection hidden="1"/>
    </xf>
    <xf numFmtId="0" fontId="13" fillId="0" borderId="33" xfId="111" applyFont="1" applyFill="1" applyBorder="1" applyAlignment="1" applyProtection="1">
      <alignment vertical="center"/>
      <protection hidden="1"/>
    </xf>
    <xf numFmtId="0" fontId="13" fillId="0" borderId="37" xfId="111" applyFont="1" applyFill="1" applyBorder="1" applyAlignment="1" applyProtection="1">
      <alignment vertical="center"/>
      <protection hidden="1"/>
    </xf>
    <xf numFmtId="0" fontId="7" fillId="0" borderId="0" xfId="115" applyFont="1" applyBorder="1" applyAlignment="1" applyProtection="1">
      <alignment vertical="center"/>
      <protection hidden="1"/>
    </xf>
    <xf numFmtId="4" fontId="7" fillId="0" borderId="0" xfId="111" applyNumberFormat="1" applyFont="1" applyBorder="1" applyAlignment="1" applyProtection="1">
      <alignment vertical="center"/>
      <protection hidden="1"/>
    </xf>
    <xf numFmtId="0" fontId="7" fillId="31" borderId="0" xfId="111" applyFont="1" applyFill="1" applyBorder="1" applyAlignment="1" applyProtection="1">
      <alignment vertical="center"/>
      <protection hidden="1"/>
    </xf>
    <xf numFmtId="0" fontId="12" fillId="31" borderId="0" xfId="111" applyFont="1" applyFill="1" applyBorder="1" applyAlignment="1" applyProtection="1">
      <alignment horizontal="center" vertical="center"/>
      <protection hidden="1"/>
    </xf>
    <xf numFmtId="242" fontId="12" fillId="31" borderId="0" xfId="111" applyNumberFormat="1" applyFont="1" applyFill="1" applyBorder="1" applyAlignment="1" applyProtection="1">
      <alignment horizontal="center" vertical="center"/>
      <protection hidden="1"/>
    </xf>
    <xf numFmtId="0" fontId="7" fillId="51" borderId="0" xfId="111" applyFont="1" applyFill="1" applyBorder="1" applyAlignment="1" applyProtection="1">
      <alignment vertical="center"/>
      <protection hidden="1"/>
    </xf>
    <xf numFmtId="0" fontId="7" fillId="51" borderId="0" xfId="111" applyFont="1" applyFill="1" applyBorder="1" applyAlignment="1" applyProtection="1">
      <alignment horizontal="center" vertical="center"/>
      <protection hidden="1"/>
    </xf>
    <xf numFmtId="230" fontId="7" fillId="51" borderId="0" xfId="105" applyNumberFormat="1" applyFont="1" applyFill="1" applyBorder="1" applyAlignment="1" applyProtection="1">
      <alignment vertical="center"/>
      <protection hidden="1"/>
    </xf>
    <xf numFmtId="246" fontId="7" fillId="0" borderId="23" xfId="111" applyNumberFormat="1" applyFont="1" applyFill="1" applyBorder="1" applyAlignment="1" applyProtection="1">
      <alignment vertical="center"/>
      <protection hidden="1"/>
    </xf>
    <xf numFmtId="244" fontId="7" fillId="0" borderId="43" xfId="111" applyNumberFormat="1" applyFont="1" applyFill="1" applyBorder="1" applyAlignment="1" applyProtection="1">
      <alignment vertical="center"/>
      <protection hidden="1"/>
    </xf>
    <xf numFmtId="0" fontId="12" fillId="32" borderId="0" xfId="111" applyFont="1" applyFill="1" applyBorder="1" applyAlignment="1" applyProtection="1">
      <alignment vertical="center" wrapText="1"/>
      <protection hidden="1"/>
    </xf>
    <xf numFmtId="0" fontId="7" fillId="31" borderId="0" xfId="111" applyFont="1" applyFill="1" applyBorder="1" applyAlignment="1" applyProtection="1">
      <alignment vertical="center"/>
      <protection hidden="1"/>
    </xf>
    <xf numFmtId="0" fontId="12" fillId="31" borderId="0" xfId="111" applyFont="1" applyFill="1" applyBorder="1" applyAlignment="1" applyProtection="1">
      <alignment horizontal="center" vertical="center" wrapText="1"/>
      <protection hidden="1"/>
    </xf>
    <xf numFmtId="0" fontId="77" fillId="31" borderId="0" xfId="111" applyFont="1" applyFill="1" applyBorder="1" applyAlignment="1" applyProtection="1">
      <alignment horizontal="center" vertical="center"/>
      <protection hidden="1"/>
    </xf>
    <xf numFmtId="235" fontId="7" fillId="0" borderId="23" xfId="111" applyNumberFormat="1" applyFont="1" applyFill="1" applyBorder="1" applyAlignment="1" applyProtection="1">
      <alignment vertical="center"/>
      <protection hidden="1"/>
    </xf>
    <xf numFmtId="174" fontId="7" fillId="0" borderId="31" xfId="111" applyNumberFormat="1" applyFont="1" applyFill="1" applyBorder="1" applyAlignment="1" applyProtection="1">
      <alignment vertical="center"/>
      <protection hidden="1"/>
    </xf>
    <xf numFmtId="174" fontId="7" fillId="0" borderId="33" xfId="111" applyNumberFormat="1" applyFont="1" applyFill="1" applyBorder="1" applyAlignment="1" applyProtection="1">
      <alignment vertical="center"/>
      <protection hidden="1"/>
    </xf>
    <xf numFmtId="174" fontId="7" fillId="38" borderId="32" xfId="115" applyNumberFormat="1" applyFont="1" applyFill="1" applyBorder="1" applyAlignment="1" applyProtection="1">
      <alignment vertical="center"/>
      <protection locked="0"/>
    </xf>
    <xf numFmtId="0" fontId="4" fillId="0" borderId="0" xfId="115" applyAlignment="1" applyProtection="1">
      <alignment vertical="center"/>
      <protection hidden="1"/>
    </xf>
    <xf numFmtId="0" fontId="12" fillId="61" borderId="0" xfId="111" applyFont="1" applyFill="1" applyBorder="1" applyAlignment="1" applyProtection="1">
      <alignment vertical="center"/>
      <protection hidden="1"/>
    </xf>
    <xf numFmtId="232" fontId="12" fillId="61" borderId="0" xfId="111" applyNumberFormat="1" applyFont="1" applyFill="1" applyBorder="1" applyAlignment="1" applyProtection="1">
      <alignment horizontal="center" vertical="center"/>
      <protection hidden="1"/>
    </xf>
    <xf numFmtId="174" fontId="13" fillId="61" borderId="0" xfId="111" applyNumberFormat="1" applyFont="1" applyFill="1" applyBorder="1" applyAlignment="1" applyProtection="1">
      <alignment vertical="center"/>
      <protection hidden="1"/>
    </xf>
    <xf numFmtId="174" fontId="12" fillId="50" borderId="32" xfId="111" applyNumberFormat="1" applyFont="1" applyFill="1" applyBorder="1" applyAlignment="1" applyProtection="1">
      <alignment vertical="center"/>
      <protection locked="0"/>
    </xf>
    <xf numFmtId="0" fontId="12" fillId="0" borderId="0" xfId="111" applyFont="1" applyFill="1" applyBorder="1" applyAlignment="1" applyProtection="1">
      <alignment vertical="center"/>
      <protection hidden="1"/>
    </xf>
    <xf numFmtId="0" fontId="12" fillId="0" borderId="0" xfId="111" applyFont="1" applyFill="1" applyBorder="1" applyAlignment="1" applyProtection="1">
      <alignment horizontal="center" vertical="center"/>
      <protection hidden="1"/>
    </xf>
    <xf numFmtId="0" fontId="12" fillId="0" borderId="0" xfId="111" applyFont="1" applyFill="1" applyBorder="1" applyAlignment="1" applyProtection="1">
      <alignment horizontal="center" vertical="center" wrapText="1"/>
      <protection hidden="1"/>
    </xf>
    <xf numFmtId="0" fontId="77" fillId="31" borderId="0" xfId="111" applyFont="1" applyFill="1" applyBorder="1" applyAlignment="1" applyProtection="1">
      <alignment horizontal="right" vertical="center"/>
      <protection hidden="1"/>
    </xf>
    <xf numFmtId="0" fontId="77" fillId="31" borderId="0" xfId="111" applyFont="1" applyFill="1" applyBorder="1" applyAlignment="1" applyProtection="1">
      <alignment horizontal="left" vertical="center"/>
      <protection hidden="1"/>
    </xf>
    <xf numFmtId="233" fontId="7" fillId="0" borderId="23" xfId="115" applyNumberFormat="1" applyFont="1" applyFill="1" applyBorder="1" applyAlignment="1" applyProtection="1">
      <alignment vertical="center"/>
      <protection hidden="1"/>
    </xf>
    <xf numFmtId="236" fontId="7" fillId="0" borderId="23" xfId="115" applyNumberFormat="1" applyFont="1" applyFill="1" applyBorder="1" applyAlignment="1" applyProtection="1">
      <alignment vertical="center"/>
      <protection hidden="1"/>
    </xf>
    <xf numFmtId="200" fontId="7" fillId="0" borderId="23" xfId="115" applyNumberFormat="1" applyFont="1" applyFill="1" applyBorder="1" applyAlignment="1" applyProtection="1">
      <alignment vertical="center"/>
      <protection hidden="1"/>
    </xf>
    <xf numFmtId="237" fontId="7" fillId="0" borderId="23" xfId="115" applyNumberFormat="1" applyFont="1" applyFill="1" applyBorder="1" applyAlignment="1" applyProtection="1">
      <alignment vertical="center"/>
      <protection hidden="1"/>
    </xf>
    <xf numFmtId="214" fontId="7" fillId="0" borderId="23" xfId="115" applyNumberFormat="1" applyFont="1" applyFill="1" applyBorder="1" applyAlignment="1" applyProtection="1">
      <alignment vertical="center"/>
      <protection hidden="1"/>
    </xf>
    <xf numFmtId="231" fontId="7" fillId="0" borderId="33" xfId="111" applyNumberFormat="1" applyFont="1" applyFill="1" applyBorder="1" applyAlignment="1" applyProtection="1">
      <alignment horizontal="left" vertical="center"/>
      <protection hidden="1"/>
    </xf>
    <xf numFmtId="238" fontId="7" fillId="51" borderId="0" xfId="111" applyNumberFormat="1" applyFont="1" applyFill="1" applyBorder="1" applyAlignment="1" applyProtection="1">
      <alignment vertical="center"/>
      <protection hidden="1"/>
    </xf>
    <xf numFmtId="239" fontId="7" fillId="0" borderId="31" xfId="111" applyNumberFormat="1" applyFont="1" applyFill="1" applyBorder="1" applyAlignment="1" applyProtection="1">
      <alignment vertical="center"/>
      <protection hidden="1"/>
    </xf>
    <xf numFmtId="174" fontId="7" fillId="0" borderId="0" xfId="111" applyNumberFormat="1" applyFont="1" applyBorder="1" applyAlignment="1" applyProtection="1">
      <alignment vertical="center"/>
      <protection hidden="1"/>
    </xf>
    <xf numFmtId="232" fontId="7" fillId="51" borderId="0" xfId="111" applyNumberFormat="1" applyFont="1" applyFill="1" applyBorder="1" applyAlignment="1" applyProtection="1">
      <alignment vertical="center"/>
      <protection hidden="1"/>
    </xf>
    <xf numFmtId="174" fontId="7" fillId="0" borderId="31" xfId="115" applyNumberFormat="1" applyFont="1" applyFill="1" applyBorder="1" applyAlignment="1" applyProtection="1">
      <alignment horizontal="right" vertical="center"/>
      <protection hidden="1"/>
    </xf>
    <xf numFmtId="231" fontId="7" fillId="0" borderId="33" xfId="115" applyNumberFormat="1" applyFont="1" applyFill="1" applyBorder="1" applyAlignment="1" applyProtection="1">
      <alignment horizontal="left" vertical="center"/>
      <protection hidden="1"/>
    </xf>
    <xf numFmtId="174" fontId="7" fillId="38" borderId="32" xfId="111" applyNumberFormat="1" applyFont="1" applyFill="1" applyBorder="1" applyAlignment="1" applyProtection="1">
      <alignment vertical="center"/>
      <protection locked="0"/>
    </xf>
    <xf numFmtId="0" fontId="7" fillId="51" borderId="0" xfId="115" applyFont="1" applyFill="1" applyBorder="1" applyAlignment="1" applyProtection="1">
      <alignment vertical="center"/>
      <protection hidden="1"/>
    </xf>
    <xf numFmtId="174" fontId="7" fillId="0" borderId="33" xfId="111" applyNumberFormat="1" applyFont="1" applyFill="1" applyBorder="1" applyAlignment="1" applyProtection="1" quotePrefix="1">
      <alignment vertical="center"/>
      <protection hidden="1"/>
    </xf>
    <xf numFmtId="0" fontId="12" fillId="0" borderId="0" xfId="111" applyFont="1" applyBorder="1" applyAlignment="1" applyProtection="1">
      <alignment vertical="center"/>
      <protection hidden="1"/>
    </xf>
    <xf numFmtId="0" fontId="12" fillId="27" borderId="0" xfId="111" applyFont="1" applyFill="1" applyBorder="1" applyAlignment="1" applyProtection="1">
      <alignment vertical="center"/>
      <protection hidden="1"/>
    </xf>
    <xf numFmtId="174" fontId="12" fillId="62" borderId="32" xfId="111" applyNumberFormat="1" applyFont="1" applyFill="1" applyBorder="1" applyAlignment="1" applyProtection="1">
      <alignment vertical="center"/>
      <protection locked="0"/>
    </xf>
    <xf numFmtId="174" fontId="12" fillId="0" borderId="0" xfId="111" applyNumberFormat="1" applyFont="1" applyFill="1" applyBorder="1" applyAlignment="1" applyProtection="1">
      <alignment vertical="center"/>
      <protection hidden="1"/>
    </xf>
    <xf numFmtId="247" fontId="7" fillId="0" borderId="23" xfId="105" applyNumberFormat="1" applyFont="1" applyFill="1" applyBorder="1" applyAlignment="1" applyProtection="1">
      <alignment vertical="center"/>
      <protection hidden="1"/>
    </xf>
    <xf numFmtId="229" fontId="33" fillId="0" borderId="0" xfId="115" applyNumberFormat="1" applyFont="1" applyFill="1" applyBorder="1" applyAlignment="1" applyProtection="1">
      <alignment vertical="center"/>
      <protection hidden="1"/>
    </xf>
    <xf numFmtId="0" fontId="33" fillId="0" borderId="0" xfId="115" applyFont="1" applyBorder="1" applyAlignment="1" applyProtection="1">
      <alignment vertical="center"/>
      <protection hidden="1"/>
    </xf>
    <xf numFmtId="0" fontId="12" fillId="32" borderId="0" xfId="111" applyFont="1" applyFill="1" applyBorder="1" applyAlignment="1" applyProtection="1">
      <alignment vertical="center"/>
      <protection hidden="1"/>
    </xf>
    <xf numFmtId="174" fontId="12" fillId="35" borderId="32" xfId="111" applyNumberFormat="1" applyFont="1" applyFill="1" applyBorder="1" applyAlignment="1" applyProtection="1">
      <alignment vertical="center"/>
      <protection locked="0"/>
    </xf>
    <xf numFmtId="0" fontId="55" fillId="54" borderId="0" xfId="0" applyFont="1" applyFill="1" applyBorder="1" applyAlignment="1" applyProtection="1">
      <alignment horizontal="left" vertical="center"/>
      <protection hidden="1"/>
    </xf>
    <xf numFmtId="0" fontId="19" fillId="54" borderId="0" xfId="0" applyFont="1" applyFill="1" applyBorder="1" applyAlignment="1" applyProtection="1">
      <alignment horizontal="left" vertical="center"/>
      <protection hidden="1"/>
    </xf>
    <xf numFmtId="0" fontId="55" fillId="54" borderId="0" xfId="0" applyFont="1" applyFill="1" applyBorder="1" applyAlignment="1" applyProtection="1">
      <alignment vertical="center"/>
      <protection hidden="1"/>
    </xf>
    <xf numFmtId="207" fontId="7" fillId="0" borderId="23" xfId="0" applyNumberFormat="1" applyFont="1" applyFill="1" applyBorder="1" applyAlignment="1" applyProtection="1">
      <alignment horizontal="right" vertical="center"/>
      <protection hidden="1"/>
    </xf>
    <xf numFmtId="171" fontId="46" fillId="0" borderId="0" xfId="0" applyNumberFormat="1" applyFont="1" applyFill="1" applyBorder="1" applyAlignment="1" applyProtection="1">
      <alignment vertical="center"/>
      <protection hidden="1"/>
    </xf>
    <xf numFmtId="0" fontId="7" fillId="0" borderId="23" xfId="0" applyFont="1" applyFill="1" applyBorder="1" applyAlignment="1" applyProtection="1">
      <alignment horizontal="right" vertical="center"/>
      <protection hidden="1"/>
    </xf>
    <xf numFmtId="173" fontId="7" fillId="0" borderId="23" xfId="0" applyNumberFormat="1" applyFont="1" applyFill="1" applyBorder="1" applyAlignment="1" applyProtection="1">
      <alignment horizontal="right" vertical="center"/>
      <protection hidden="1"/>
    </xf>
    <xf numFmtId="207" fontId="7" fillId="0" borderId="34" xfId="0" applyNumberFormat="1" applyFont="1" applyFill="1" applyBorder="1" applyAlignment="1" applyProtection="1">
      <alignment horizontal="right" vertical="center"/>
      <protection hidden="1"/>
    </xf>
    <xf numFmtId="0" fontId="12" fillId="59" borderId="0" xfId="0" applyFont="1" applyFill="1" applyBorder="1" applyAlignment="1" applyProtection="1">
      <alignment vertical="center"/>
      <protection hidden="1"/>
    </xf>
    <xf numFmtId="171" fontId="49" fillId="50" borderId="32" xfId="0" applyNumberFormat="1" applyFont="1" applyFill="1" applyBorder="1" applyAlignment="1" applyProtection="1">
      <alignment vertical="center"/>
      <protection locked="0"/>
    </xf>
    <xf numFmtId="0" fontId="78" fillId="0" borderId="0" xfId="0" applyFont="1" applyFill="1" applyBorder="1" applyAlignment="1" applyProtection="1">
      <alignment/>
      <protection hidden="1"/>
    </xf>
    <xf numFmtId="0" fontId="78" fillId="0" borderId="0" xfId="0" applyFont="1" applyFill="1" applyBorder="1" applyAlignment="1" applyProtection="1">
      <alignment horizontal="center"/>
      <protection hidden="1"/>
    </xf>
    <xf numFmtId="0" fontId="12" fillId="31" borderId="0" xfId="0" applyFont="1" applyFill="1" applyBorder="1" applyAlignment="1" applyProtection="1">
      <alignment horizontal="left"/>
      <protection hidden="1"/>
    </xf>
    <xf numFmtId="0" fontId="49" fillId="31" borderId="0" xfId="0" applyFont="1" applyFill="1" applyBorder="1" applyAlignment="1" applyProtection="1">
      <alignment/>
      <protection hidden="1"/>
    </xf>
    <xf numFmtId="0" fontId="7" fillId="0" borderId="23" xfId="0" applyFont="1" applyFill="1" applyBorder="1" applyAlignment="1" applyProtection="1">
      <alignment horizontal="right"/>
      <protection hidden="1"/>
    </xf>
    <xf numFmtId="173" fontId="7" fillId="0" borderId="31" xfId="0" applyNumberFormat="1" applyFont="1" applyFill="1" applyBorder="1" applyAlignment="1" applyProtection="1">
      <alignment horizontal="right"/>
      <protection hidden="1"/>
    </xf>
    <xf numFmtId="0" fontId="7" fillId="0" borderId="37" xfId="0" applyFont="1" applyFill="1" applyBorder="1" applyAlignment="1" applyProtection="1">
      <alignment horizontal="right"/>
      <protection hidden="1"/>
    </xf>
    <xf numFmtId="0" fontId="12" fillId="61" borderId="0" xfId="0" applyFont="1" applyFill="1" applyBorder="1" applyAlignment="1" applyProtection="1">
      <alignment/>
      <protection hidden="1"/>
    </xf>
    <xf numFmtId="0" fontId="7" fillId="61" borderId="0" xfId="0" applyFont="1" applyFill="1" applyBorder="1" applyAlignment="1" applyProtection="1">
      <alignment/>
      <protection hidden="1"/>
    </xf>
    <xf numFmtId="173" fontId="7" fillId="50" borderId="32" xfId="0" applyNumberFormat="1" applyFont="1" applyFill="1" applyBorder="1" applyAlignment="1" applyProtection="1">
      <alignment/>
      <protection locked="0"/>
    </xf>
    <xf numFmtId="4" fontId="7" fillId="61" borderId="0" xfId="0" applyNumberFormat="1" applyFont="1" applyFill="1" applyBorder="1" applyAlignment="1" applyProtection="1">
      <alignment/>
      <protection hidden="1"/>
    </xf>
    <xf numFmtId="206" fontId="7" fillId="50" borderId="32" xfId="0" applyNumberFormat="1" applyFont="1" applyFill="1" applyBorder="1" applyAlignment="1" applyProtection="1">
      <alignment/>
      <protection locked="0"/>
    </xf>
    <xf numFmtId="0" fontId="41" fillId="0" borderId="32" xfId="0" applyFont="1" applyFill="1" applyBorder="1" applyAlignment="1" applyProtection="1">
      <alignment horizontal="center" vertical="center"/>
      <protection locked="0"/>
    </xf>
    <xf numFmtId="0" fontId="7" fillId="0" borderId="0" xfId="0" applyFont="1" applyFill="1" applyBorder="1" applyAlignment="1" applyProtection="1">
      <alignment horizontal="left" indent="1"/>
      <protection hidden="1"/>
    </xf>
    <xf numFmtId="0" fontId="6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208" fontId="7" fillId="0" borderId="0" xfId="0" applyNumberFormat="1" applyFont="1" applyFill="1" applyBorder="1" applyAlignment="1" applyProtection="1">
      <alignment/>
      <protection hidden="1"/>
    </xf>
    <xf numFmtId="0" fontId="7" fillId="51" borderId="0" xfId="0" applyFont="1" applyFill="1" applyBorder="1" applyAlignment="1" applyProtection="1">
      <alignment horizontal="left"/>
      <protection hidden="1"/>
    </xf>
    <xf numFmtId="0" fontId="12" fillId="31" borderId="0" xfId="0" applyNumberFormat="1" applyFont="1" applyFill="1" applyBorder="1" applyAlignment="1" applyProtection="1">
      <alignment horizontal="center" vertical="center"/>
      <protection hidden="1"/>
    </xf>
    <xf numFmtId="0" fontId="7" fillId="0" borderId="23" xfId="0" applyFont="1" applyFill="1" applyBorder="1" applyAlignment="1" applyProtection="1">
      <alignment horizontal="left" vertical="center"/>
      <protection hidden="1"/>
    </xf>
    <xf numFmtId="173" fontId="12" fillId="61" borderId="0" xfId="0" applyNumberFormat="1" applyFont="1" applyFill="1" applyBorder="1" applyAlignment="1" applyProtection="1">
      <alignment vertical="center"/>
      <protection hidden="1"/>
    </xf>
    <xf numFmtId="207" fontId="7" fillId="50" borderId="32" xfId="0" applyNumberFormat="1" applyFont="1" applyFill="1" applyBorder="1" applyAlignment="1" applyProtection="1">
      <alignment vertical="center"/>
      <protection locked="0"/>
    </xf>
    <xf numFmtId="0" fontId="13" fillId="31" borderId="0" xfId="0" applyFont="1" applyFill="1" applyBorder="1" applyAlignment="1" applyProtection="1">
      <alignment vertical="center"/>
      <protection hidden="1"/>
    </xf>
    <xf numFmtId="0" fontId="19" fillId="54" borderId="0" xfId="0" applyFont="1" applyFill="1" applyAlignment="1" applyProtection="1">
      <alignment/>
      <protection hidden="1"/>
    </xf>
    <xf numFmtId="0" fontId="19" fillId="54" borderId="0" xfId="0" applyFont="1" applyFill="1" applyAlignment="1" applyProtection="1">
      <alignment horizontal="center"/>
      <protection hidden="1"/>
    </xf>
    <xf numFmtId="0" fontId="55" fillId="54" borderId="0" xfId="0" applyFont="1" applyFill="1" applyAlignment="1" applyProtection="1">
      <alignment/>
      <protection hidden="1"/>
    </xf>
    <xf numFmtId="0" fontId="55" fillId="54" borderId="0" xfId="0" applyFont="1" applyFill="1" applyAlignment="1" applyProtection="1">
      <alignment/>
      <protection hidden="1"/>
    </xf>
    <xf numFmtId="0" fontId="12" fillId="54" borderId="0" xfId="0" applyFont="1" applyFill="1" applyAlignment="1" applyProtection="1">
      <alignment/>
      <protection hidden="1"/>
    </xf>
    <xf numFmtId="0" fontId="12" fillId="54" borderId="0" xfId="0" applyFont="1" applyFill="1" applyAlignment="1" applyProtection="1">
      <alignment horizontal="center"/>
      <protection hidden="1"/>
    </xf>
    <xf numFmtId="0" fontId="12" fillId="54" borderId="0" xfId="0" applyFont="1" applyFill="1" applyAlignment="1" applyProtection="1">
      <alignment/>
      <protection hidden="1"/>
    </xf>
    <xf numFmtId="0" fontId="7" fillId="0" borderId="0" xfId="0" applyFont="1" applyFill="1" applyAlignment="1" applyProtection="1">
      <alignment horizontal="right"/>
      <protection hidden="1"/>
    </xf>
    <xf numFmtId="0" fontId="7" fillId="0" borderId="0" xfId="0" applyFont="1" applyFill="1" applyAlignment="1" applyProtection="1">
      <alignment/>
      <protection hidden="1"/>
    </xf>
    <xf numFmtId="0" fontId="7" fillId="0" borderId="0" xfId="0" applyFont="1" applyFill="1" applyAlignment="1" applyProtection="1">
      <alignment horizontal="center"/>
      <protection hidden="1"/>
    </xf>
    <xf numFmtId="0" fontId="12" fillId="0" borderId="0" xfId="0" applyFont="1" applyFill="1" applyAlignment="1" applyProtection="1">
      <alignment/>
      <protection hidden="1"/>
    </xf>
    <xf numFmtId="0" fontId="7" fillId="0" borderId="23"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3" fontId="7" fillId="0" borderId="23" xfId="0" applyNumberFormat="1" applyFont="1" applyFill="1" applyBorder="1" applyAlignment="1" applyProtection="1">
      <alignment horizontal="center" vertical="center"/>
      <protection hidden="1"/>
    </xf>
    <xf numFmtId="3" fontId="7" fillId="0" borderId="0" xfId="0" applyNumberFormat="1" applyFont="1" applyFill="1" applyBorder="1" applyAlignment="1" applyProtection="1">
      <alignment horizontal="center" vertical="center"/>
      <protection hidden="1"/>
    </xf>
    <xf numFmtId="0" fontId="7" fillId="0" borderId="0" xfId="0" applyFont="1" applyFill="1" applyAlignment="1" applyProtection="1">
      <alignment horizontal="left"/>
      <protection hidden="1"/>
    </xf>
    <xf numFmtId="4" fontId="7" fillId="0" borderId="23" xfId="0" applyNumberFormat="1" applyFont="1" applyFill="1" applyBorder="1" applyAlignment="1" applyProtection="1">
      <alignment horizontal="center" vertical="center"/>
      <protection hidden="1"/>
    </xf>
    <xf numFmtId="4" fontId="7" fillId="0" borderId="0" xfId="0" applyNumberFormat="1" applyFont="1" applyFill="1" applyBorder="1" applyAlignment="1" applyProtection="1">
      <alignment horizontal="center" vertical="center"/>
      <protection hidden="1"/>
    </xf>
    <xf numFmtId="0" fontId="12" fillId="31" borderId="0" xfId="0" applyFont="1" applyFill="1" applyBorder="1" applyAlignment="1" applyProtection="1">
      <alignment horizontal="left" vertical="center"/>
      <protection hidden="1"/>
    </xf>
    <xf numFmtId="0" fontId="7" fillId="31" borderId="0" xfId="0" applyFont="1" applyFill="1" applyBorder="1" applyAlignment="1" applyProtection="1">
      <alignment horizontal="right" vertical="center"/>
      <protection hidden="1"/>
    </xf>
    <xf numFmtId="0" fontId="7" fillId="0" borderId="0" xfId="0" applyFont="1" applyBorder="1" applyAlignment="1" applyProtection="1">
      <alignment vertical="center"/>
      <protection hidden="1"/>
    </xf>
    <xf numFmtId="0" fontId="7" fillId="51" borderId="0" xfId="0" applyFont="1" applyFill="1" applyBorder="1" applyAlignment="1" applyProtection="1">
      <alignment horizontal="right" vertical="center"/>
      <protection hidden="1"/>
    </xf>
    <xf numFmtId="0" fontId="7" fillId="0" borderId="0" xfId="0" applyFont="1" applyFill="1" applyAlignment="1" applyProtection="1">
      <alignment vertical="center"/>
      <protection hidden="1"/>
    </xf>
    <xf numFmtId="0" fontId="7" fillId="32" borderId="44" xfId="0" applyFont="1" applyFill="1" applyBorder="1" applyAlignment="1" applyProtection="1">
      <alignment horizontal="right" vertical="center"/>
      <protection hidden="1"/>
    </xf>
    <xf numFmtId="0" fontId="7" fillId="32" borderId="45" xfId="0" applyFont="1" applyFill="1" applyBorder="1" applyAlignment="1" applyProtection="1">
      <alignment horizontal="right" vertical="center"/>
      <protection hidden="1"/>
    </xf>
    <xf numFmtId="0" fontId="7" fillId="32" borderId="45" xfId="0" applyFont="1" applyFill="1" applyBorder="1" applyAlignment="1" applyProtection="1">
      <alignment horizontal="center" vertical="center"/>
      <protection hidden="1"/>
    </xf>
    <xf numFmtId="0" fontId="7" fillId="32" borderId="46" xfId="0" applyFont="1" applyFill="1" applyBorder="1" applyAlignment="1" applyProtection="1">
      <alignment horizontal="right" vertical="center"/>
      <protection hidden="1"/>
    </xf>
    <xf numFmtId="0" fontId="12" fillId="32" borderId="47" xfId="0" applyFont="1" applyFill="1" applyBorder="1" applyAlignment="1" applyProtection="1">
      <alignment horizontal="right" vertical="center"/>
      <protection hidden="1"/>
    </xf>
    <xf numFmtId="0" fontId="33" fillId="32" borderId="0" xfId="0" applyFont="1" applyFill="1" applyBorder="1" applyAlignment="1" applyProtection="1">
      <alignment horizontal="right"/>
      <protection hidden="1"/>
    </xf>
    <xf numFmtId="0" fontId="7" fillId="32" borderId="0" xfId="0" applyFont="1" applyFill="1" applyBorder="1" applyAlignment="1" applyProtection="1">
      <alignment horizontal="center" vertical="center"/>
      <protection hidden="1"/>
    </xf>
    <xf numFmtId="0" fontId="7" fillId="38" borderId="0" xfId="0" applyFont="1" applyFill="1" applyBorder="1" applyAlignment="1" applyProtection="1">
      <alignment horizontal="center" vertical="center"/>
      <protection locked="0"/>
    </xf>
    <xf numFmtId="0" fontId="79" fillId="51" borderId="0" xfId="0" applyFont="1" applyFill="1" applyBorder="1" applyAlignment="1" applyProtection="1">
      <alignment vertical="center"/>
      <protection hidden="1"/>
    </xf>
    <xf numFmtId="0" fontId="12" fillId="32" borderId="48" xfId="0" applyFont="1" applyFill="1" applyBorder="1" applyAlignment="1" applyProtection="1">
      <alignment horizontal="right" vertical="center"/>
      <protection hidden="1"/>
    </xf>
    <xf numFmtId="0" fontId="7" fillId="32" borderId="49" xfId="0" applyFont="1" applyFill="1" applyBorder="1" applyAlignment="1" applyProtection="1">
      <alignment horizontal="right" vertical="center"/>
      <protection hidden="1"/>
    </xf>
    <xf numFmtId="0" fontId="7" fillId="32" borderId="49" xfId="0" applyFont="1" applyFill="1" applyBorder="1" applyAlignment="1" applyProtection="1">
      <alignment horizontal="center" vertical="center"/>
      <protection hidden="1"/>
    </xf>
    <xf numFmtId="0" fontId="7" fillId="32" borderId="49" xfId="0" applyFont="1" applyFill="1" applyBorder="1" applyAlignment="1" applyProtection="1">
      <alignment vertical="center"/>
      <protection hidden="1"/>
    </xf>
    <xf numFmtId="0" fontId="7" fillId="32" borderId="50" xfId="0" applyFont="1" applyFill="1" applyBorder="1" applyAlignment="1" applyProtection="1">
      <alignment horizontal="center" vertical="center"/>
      <protection hidden="1"/>
    </xf>
    <xf numFmtId="0" fontId="7" fillId="51" borderId="0" xfId="0" applyFont="1" applyFill="1" applyBorder="1" applyAlignment="1" applyProtection="1">
      <alignment vertical="center"/>
      <protection hidden="1"/>
    </xf>
    <xf numFmtId="0" fontId="7" fillId="51" borderId="0" xfId="0" applyFont="1" applyFill="1" applyBorder="1" applyAlignment="1" applyProtection="1">
      <alignment horizontal="center" vertical="center"/>
      <protection hidden="1"/>
    </xf>
    <xf numFmtId="0" fontId="33" fillId="51" borderId="0" xfId="0" applyFont="1" applyFill="1" applyBorder="1" applyAlignment="1" applyProtection="1">
      <alignment horizontal="right"/>
      <protection hidden="1"/>
    </xf>
    <xf numFmtId="0" fontId="15" fillId="51" borderId="0" xfId="0" applyFont="1" applyFill="1" applyBorder="1" applyAlignment="1" applyProtection="1">
      <alignment vertical="center"/>
      <protection hidden="1"/>
    </xf>
    <xf numFmtId="0" fontId="7" fillId="0" borderId="0" xfId="0" applyFont="1" applyBorder="1" applyAlignment="1" applyProtection="1">
      <alignment horizontal="right" vertical="center"/>
      <protection hidden="1"/>
    </xf>
    <xf numFmtId="0" fontId="12" fillId="0" borderId="0" xfId="0" applyFont="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12" fillId="32" borderId="44" xfId="0" applyFont="1" applyFill="1" applyBorder="1" applyAlignment="1" applyProtection="1">
      <alignment horizontal="right" vertical="center"/>
      <protection hidden="1"/>
    </xf>
    <xf numFmtId="0" fontId="7" fillId="32" borderId="46" xfId="0" applyFont="1" applyFill="1" applyBorder="1" applyAlignment="1" applyProtection="1">
      <alignment horizontal="center" vertical="center"/>
      <protection hidden="1"/>
    </xf>
    <xf numFmtId="0" fontId="12" fillId="0" borderId="0" xfId="0" applyFont="1" applyBorder="1" applyAlignment="1" applyProtection="1">
      <alignment vertical="center"/>
      <protection hidden="1"/>
    </xf>
    <xf numFmtId="0" fontId="79" fillId="0" borderId="0" xfId="0" applyFont="1" applyFill="1" applyBorder="1" applyAlignment="1" applyProtection="1">
      <alignment vertical="center"/>
      <protection hidden="1"/>
    </xf>
    <xf numFmtId="0" fontId="33" fillId="0" borderId="0" xfId="0" applyFont="1" applyFill="1" applyBorder="1" applyAlignment="1" applyProtection="1">
      <alignment horizontal="right"/>
      <protection hidden="1"/>
    </xf>
    <xf numFmtId="0" fontId="12" fillId="0" borderId="0" xfId="0" applyFont="1" applyBorder="1" applyAlignment="1" applyProtection="1">
      <alignment horizontal="center" vertical="center"/>
      <protection hidden="1"/>
    </xf>
    <xf numFmtId="0" fontId="7" fillId="38" borderId="32" xfId="0" applyFont="1" applyFill="1" applyBorder="1" applyAlignment="1" applyProtection="1">
      <alignment horizontal="center" vertical="center"/>
      <protection locked="0"/>
    </xf>
    <xf numFmtId="0" fontId="80" fillId="0" borderId="0" xfId="0" applyFont="1" applyBorder="1" applyAlignment="1" applyProtection="1">
      <alignment horizontal="center" vertical="center"/>
      <protection hidden="1"/>
    </xf>
    <xf numFmtId="0" fontId="33" fillId="0" borderId="0" xfId="0" applyFont="1" applyFill="1" applyBorder="1" applyAlignment="1" applyProtection="1">
      <alignment horizontal="right" vertical="center"/>
      <protection hidden="1"/>
    </xf>
    <xf numFmtId="0" fontId="33" fillId="51" borderId="0" xfId="0" applyFont="1" applyFill="1" applyBorder="1" applyAlignment="1" applyProtection="1">
      <alignment horizontal="right" vertical="center"/>
      <protection hidden="1"/>
    </xf>
    <xf numFmtId="4" fontId="7" fillId="51" borderId="0" xfId="0" applyNumberFormat="1" applyFont="1" applyFill="1" applyBorder="1" applyAlignment="1" applyProtection="1">
      <alignment horizontal="center" vertical="center"/>
      <protection hidden="1"/>
    </xf>
    <xf numFmtId="9" fontId="7" fillId="51" borderId="0" xfId="0" applyNumberFormat="1" applyFont="1" applyFill="1" applyBorder="1" applyAlignment="1" applyProtection="1">
      <alignment horizontal="center" vertical="center"/>
      <protection hidden="1"/>
    </xf>
    <xf numFmtId="4" fontId="12" fillId="51" borderId="0" xfId="0" applyNumberFormat="1" applyFont="1" applyFill="1" applyBorder="1" applyAlignment="1" applyProtection="1">
      <alignment horizontal="center" vertical="center"/>
      <protection hidden="1"/>
    </xf>
    <xf numFmtId="9" fontId="7" fillId="38" borderId="32" xfId="0" applyNumberFormat="1" applyFont="1" applyFill="1" applyBorder="1" applyAlignment="1" applyProtection="1">
      <alignment horizontal="center" vertical="center"/>
      <protection locked="0"/>
    </xf>
    <xf numFmtId="4" fontId="12" fillId="0" borderId="0" xfId="0" applyNumberFormat="1" applyFont="1" applyFill="1" applyBorder="1" applyAlignment="1" applyProtection="1">
      <alignment vertical="center"/>
      <protection hidden="1"/>
    </xf>
    <xf numFmtId="0" fontId="33" fillId="32" borderId="45" xfId="0" applyFont="1" applyFill="1" applyBorder="1" applyAlignment="1" applyProtection="1">
      <alignment horizontal="right" vertical="center"/>
      <protection hidden="1"/>
    </xf>
    <xf numFmtId="0" fontId="12" fillId="32" borderId="45" xfId="0" applyFont="1" applyFill="1" applyBorder="1" applyAlignment="1" applyProtection="1">
      <alignment horizontal="center" vertical="center"/>
      <protection hidden="1"/>
    </xf>
    <xf numFmtId="0" fontId="12" fillId="32" borderId="45" xfId="0" applyFont="1" applyFill="1" applyBorder="1" applyAlignment="1" applyProtection="1">
      <alignment horizontal="right" vertical="center"/>
      <protection hidden="1"/>
    </xf>
    <xf numFmtId="0" fontId="12" fillId="32" borderId="45" xfId="0" applyFont="1" applyFill="1" applyBorder="1" applyAlignment="1" applyProtection="1">
      <alignment vertical="center"/>
      <protection hidden="1"/>
    </xf>
    <xf numFmtId="9" fontId="7" fillId="32" borderId="45" xfId="0" applyNumberFormat="1" applyFont="1" applyFill="1" applyBorder="1" applyAlignment="1" applyProtection="1">
      <alignment horizontal="center" vertical="center"/>
      <protection hidden="1"/>
    </xf>
    <xf numFmtId="9" fontId="7" fillId="32" borderId="46" xfId="0" applyNumberFormat="1" applyFont="1" applyFill="1" applyBorder="1" applyAlignment="1" applyProtection="1">
      <alignment horizontal="center" vertical="center"/>
      <protection hidden="1"/>
    </xf>
    <xf numFmtId="0" fontId="7" fillId="38" borderId="0" xfId="0" applyFont="1" applyFill="1" applyBorder="1" applyAlignment="1" applyProtection="1">
      <alignment vertical="center"/>
      <protection locked="0"/>
    </xf>
    <xf numFmtId="0" fontId="7" fillId="32" borderId="51" xfId="0" applyFont="1" applyFill="1" applyBorder="1" applyAlignment="1" applyProtection="1">
      <alignment vertical="center"/>
      <protection hidden="1"/>
    </xf>
    <xf numFmtId="0" fontId="33" fillId="32" borderId="49" xfId="0" applyFont="1" applyFill="1" applyBorder="1" applyAlignment="1" applyProtection="1">
      <alignment horizontal="right" vertical="center"/>
      <protection hidden="1"/>
    </xf>
    <xf numFmtId="0" fontId="7" fillId="32" borderId="50" xfId="0" applyFont="1" applyFill="1" applyBorder="1" applyAlignment="1" applyProtection="1">
      <alignment vertical="center"/>
      <protection hidden="1"/>
    </xf>
    <xf numFmtId="0" fontId="7"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horizontal="right" vertical="center"/>
      <protection hidden="1"/>
    </xf>
    <xf numFmtId="9" fontId="7" fillId="0" borderId="0" xfId="0" applyNumberFormat="1" applyFont="1" applyFill="1" applyBorder="1" applyAlignment="1" applyProtection="1">
      <alignment horizontal="center" vertical="center"/>
      <protection hidden="1"/>
    </xf>
    <xf numFmtId="3" fontId="12" fillId="51" borderId="0" xfId="0" applyNumberFormat="1" applyFont="1" applyFill="1" applyBorder="1" applyAlignment="1" applyProtection="1">
      <alignment vertical="center"/>
      <protection hidden="1"/>
    </xf>
    <xf numFmtId="4" fontId="12" fillId="51" borderId="0" xfId="0" applyNumberFormat="1"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7" fillId="32" borderId="44" xfId="0" applyFont="1" applyFill="1" applyBorder="1" applyAlignment="1" applyProtection="1">
      <alignment horizontal="right" vertical="center"/>
      <protection hidden="1"/>
    </xf>
    <xf numFmtId="0" fontId="7" fillId="32" borderId="45" xfId="0" applyFont="1" applyFill="1" applyBorder="1" applyAlignment="1" applyProtection="1">
      <alignment horizontal="right" vertical="center"/>
      <protection hidden="1"/>
    </xf>
    <xf numFmtId="0" fontId="7" fillId="32" borderId="45" xfId="0" applyFont="1" applyFill="1" applyBorder="1" applyAlignment="1" applyProtection="1">
      <alignment horizontal="center" vertical="center"/>
      <protection hidden="1"/>
    </xf>
    <xf numFmtId="0" fontId="7" fillId="32" borderId="46" xfId="0" applyFont="1" applyFill="1" applyBorder="1" applyAlignment="1" applyProtection="1">
      <alignment horizontal="center" vertical="center"/>
      <protection hidden="1"/>
    </xf>
    <xf numFmtId="0" fontId="7" fillId="32" borderId="0" xfId="0" applyFont="1" applyFill="1" applyBorder="1" applyAlignment="1" applyProtection="1">
      <alignment horizontal="right" vertical="center"/>
      <protection hidden="1"/>
    </xf>
    <xf numFmtId="0" fontId="12" fillId="32" borderId="0" xfId="0" applyFont="1" applyFill="1" applyBorder="1" applyAlignment="1" applyProtection="1">
      <alignment horizontal="center" vertical="center"/>
      <protection hidden="1"/>
    </xf>
    <xf numFmtId="0" fontId="7" fillId="32" borderId="51"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7" fillId="32" borderId="22" xfId="0" applyFont="1" applyFill="1" applyBorder="1" applyAlignment="1" applyProtection="1">
      <alignment horizontal="center" vertical="center"/>
      <protection hidden="1"/>
    </xf>
    <xf numFmtId="0" fontId="33" fillId="32" borderId="0" xfId="0" applyFont="1" applyFill="1" applyBorder="1" applyAlignment="1" applyProtection="1">
      <alignment horizontal="right" vertical="top"/>
      <protection hidden="1"/>
    </xf>
    <xf numFmtId="0" fontId="7" fillId="32" borderId="48" xfId="0" applyFont="1" applyFill="1" applyBorder="1" applyAlignment="1" applyProtection="1">
      <alignment horizontal="right" vertical="center"/>
      <protection hidden="1"/>
    </xf>
    <xf numFmtId="0" fontId="7" fillId="0" borderId="0" xfId="0" applyFont="1" applyAlignment="1" applyProtection="1">
      <alignment vertical="center"/>
      <protection hidden="1"/>
    </xf>
    <xf numFmtId="4" fontId="12" fillId="0" borderId="0" xfId="0" applyNumberFormat="1" applyFont="1" applyBorder="1" applyAlignment="1" applyProtection="1">
      <alignment vertical="center"/>
      <protection hidden="1"/>
    </xf>
    <xf numFmtId="0" fontId="40" fillId="31" borderId="0" xfId="0" applyFont="1" applyFill="1" applyBorder="1" applyAlignment="1" applyProtection="1">
      <alignment vertical="center"/>
      <protection hidden="1"/>
    </xf>
    <xf numFmtId="0" fontId="7" fillId="31" borderId="0" xfId="0" applyFont="1" applyFill="1" applyBorder="1" applyAlignment="1" applyProtection="1">
      <alignment horizontal="right" vertical="center"/>
      <protection hidden="1"/>
    </xf>
    <xf numFmtId="0" fontId="7" fillId="31" borderId="0" xfId="0" applyFont="1" applyFill="1" applyBorder="1" applyAlignment="1" applyProtection="1">
      <alignment horizontal="center" vertical="center"/>
      <protection hidden="1"/>
    </xf>
    <xf numFmtId="0" fontId="7" fillId="31" borderId="0" xfId="0" applyFont="1" applyFill="1" applyBorder="1" applyAlignment="1" applyProtection="1">
      <alignment vertical="center"/>
      <protection hidden="1"/>
    </xf>
    <xf numFmtId="0" fontId="7" fillId="0" borderId="0" xfId="0" applyFont="1" applyBorder="1" applyAlignment="1" applyProtection="1">
      <alignment/>
      <protection hidden="1"/>
    </xf>
    <xf numFmtId="0" fontId="1" fillId="34" borderId="0" xfId="0" applyFont="1" applyFill="1" applyAlignment="1" applyProtection="1">
      <alignment/>
      <protection hidden="1"/>
    </xf>
    <xf numFmtId="0" fontId="1" fillId="31" borderId="0" xfId="0" applyFont="1" applyFill="1" applyAlignment="1" applyProtection="1">
      <alignment/>
      <protection hidden="1"/>
    </xf>
    <xf numFmtId="0" fontId="0" fillId="31" borderId="0" xfId="0" applyFill="1" applyAlignment="1" applyProtection="1">
      <alignment/>
      <protection hidden="1"/>
    </xf>
    <xf numFmtId="0" fontId="1" fillId="51" borderId="0" xfId="0" applyFont="1" applyFill="1" applyAlignment="1" applyProtection="1">
      <alignment horizontal="center" vertical="center"/>
      <protection hidden="1"/>
    </xf>
    <xf numFmtId="0" fontId="7" fillId="0" borderId="0" xfId="0" applyFont="1" applyBorder="1" applyAlignment="1" applyProtection="1">
      <alignment horizontal="right"/>
      <protection hidden="1"/>
    </xf>
    <xf numFmtId="0" fontId="7" fillId="0" borderId="0" xfId="0" applyFont="1" applyBorder="1" applyAlignment="1" applyProtection="1">
      <alignment horizontal="center"/>
      <protection hidden="1"/>
    </xf>
    <xf numFmtId="205" fontId="7" fillId="0" borderId="23" xfId="0" applyNumberFormat="1" applyFont="1" applyFill="1" applyBorder="1" applyAlignment="1" applyProtection="1">
      <alignment horizontal="center"/>
      <protection hidden="1"/>
    </xf>
    <xf numFmtId="3" fontId="7" fillId="0" borderId="34" xfId="0" applyNumberFormat="1" applyFont="1" applyFill="1" applyBorder="1" applyAlignment="1" applyProtection="1">
      <alignment vertical="center"/>
      <protection hidden="1"/>
    </xf>
    <xf numFmtId="168" fontId="7" fillId="0" borderId="34" xfId="0" applyNumberFormat="1" applyFont="1" applyFill="1" applyBorder="1" applyAlignment="1" applyProtection="1">
      <alignment vertical="center"/>
      <protection hidden="1"/>
    </xf>
    <xf numFmtId="3" fontId="7" fillId="0" borderId="36" xfId="0" applyNumberFormat="1" applyFont="1" applyFill="1" applyBorder="1" applyAlignment="1" applyProtection="1">
      <alignment vertical="center"/>
      <protection hidden="1"/>
    </xf>
    <xf numFmtId="168" fontId="7" fillId="0" borderId="36" xfId="0" applyNumberFormat="1" applyFont="1" applyFill="1" applyBorder="1" applyAlignment="1" applyProtection="1">
      <alignment vertical="center"/>
      <protection hidden="1"/>
    </xf>
    <xf numFmtId="3" fontId="7" fillId="0" borderId="23" xfId="0" applyNumberFormat="1" applyFont="1" applyFill="1" applyBorder="1" applyAlignment="1" applyProtection="1">
      <alignment vertical="center"/>
      <protection hidden="1"/>
    </xf>
    <xf numFmtId="168" fontId="7" fillId="0" borderId="23" xfId="0" applyNumberFormat="1" applyFont="1" applyFill="1" applyBorder="1" applyAlignment="1" applyProtection="1">
      <alignment vertical="center"/>
      <protection hidden="1"/>
    </xf>
    <xf numFmtId="169" fontId="7" fillId="0" borderId="31" xfId="0" applyNumberFormat="1" applyFont="1" applyFill="1" applyBorder="1" applyAlignment="1" applyProtection="1">
      <alignment horizontal="center" vertical="center"/>
      <protection hidden="1"/>
    </xf>
    <xf numFmtId="171" fontId="7" fillId="0" borderId="52" xfId="0" applyNumberFormat="1" applyFont="1" applyFill="1" applyBorder="1" applyAlignment="1" applyProtection="1">
      <alignment vertical="center"/>
      <protection hidden="1"/>
    </xf>
    <xf numFmtId="172" fontId="7" fillId="0" borderId="27" xfId="0" applyNumberFormat="1" applyFont="1" applyFill="1" applyBorder="1" applyAlignment="1" applyProtection="1">
      <alignment vertical="center"/>
      <protection hidden="1"/>
    </xf>
    <xf numFmtId="4" fontId="12" fillId="50" borderId="32" xfId="91" applyNumberFormat="1" applyFont="1" applyFill="1" applyBorder="1" applyAlignment="1" applyProtection="1">
      <alignment vertical="center"/>
      <protection locked="0"/>
    </xf>
    <xf numFmtId="171" fontId="12" fillId="50" borderId="32" xfId="0" applyNumberFormat="1" applyFont="1" applyFill="1" applyBorder="1" applyAlignment="1" applyProtection="1">
      <alignment vertical="center"/>
      <protection locked="0"/>
    </xf>
    <xf numFmtId="171" fontId="12" fillId="38" borderId="32" xfId="0" applyNumberFormat="1" applyFont="1" applyFill="1" applyBorder="1" applyAlignment="1" applyProtection="1">
      <alignment vertical="center"/>
      <protection locked="0"/>
    </xf>
    <xf numFmtId="0" fontId="13" fillId="62" borderId="32" xfId="0" applyFont="1" applyFill="1" applyBorder="1" applyAlignment="1" applyProtection="1">
      <alignment horizontal="center" vertical="center"/>
      <protection locked="0"/>
    </xf>
    <xf numFmtId="171" fontId="7" fillId="38" borderId="53" xfId="0" applyNumberFormat="1" applyFont="1" applyFill="1" applyBorder="1" applyAlignment="1" applyProtection="1">
      <alignment/>
      <protection locked="0"/>
    </xf>
    <xf numFmtId="171" fontId="12" fillId="38" borderId="53" xfId="0" applyNumberFormat="1" applyFont="1" applyFill="1" applyBorder="1" applyAlignment="1" applyProtection="1">
      <alignment/>
      <protection locked="0"/>
    </xf>
    <xf numFmtId="171" fontId="12" fillId="38" borderId="15" xfId="0" applyNumberFormat="1" applyFont="1" applyFill="1" applyBorder="1" applyAlignment="1" applyProtection="1">
      <alignment/>
      <protection locked="0"/>
    </xf>
    <xf numFmtId="171" fontId="7" fillId="50" borderId="15" xfId="0" applyNumberFormat="1" applyFont="1" applyFill="1" applyBorder="1" applyAlignment="1" applyProtection="1">
      <alignment/>
      <protection locked="0"/>
    </xf>
    <xf numFmtId="0" fontId="0" fillId="60" borderId="0" xfId="0" applyFill="1" applyAlignment="1" applyProtection="1">
      <alignment/>
      <protection hidden="1"/>
    </xf>
    <xf numFmtId="197" fontId="49" fillId="0" borderId="23" xfId="0" applyNumberFormat="1" applyFont="1" applyFill="1" applyBorder="1" applyAlignment="1" applyProtection="1">
      <alignment/>
      <protection hidden="1"/>
    </xf>
    <xf numFmtId="248" fontId="7" fillId="0" borderId="31" xfId="0" applyNumberFormat="1" applyFont="1" applyFill="1" applyBorder="1" applyAlignment="1" applyProtection="1">
      <alignment horizontal="center" vertical="center"/>
      <protection hidden="1"/>
    </xf>
    <xf numFmtId="248" fontId="7" fillId="0" borderId="41" xfId="0" applyNumberFormat="1" applyFont="1" applyFill="1" applyBorder="1" applyAlignment="1" applyProtection="1">
      <alignment horizontal="center" vertical="center"/>
      <protection hidden="1"/>
    </xf>
    <xf numFmtId="1" fontId="7" fillId="0" borderId="23" xfId="0" applyNumberFormat="1" applyFont="1" applyFill="1" applyBorder="1" applyAlignment="1" applyProtection="1">
      <alignment vertical="center"/>
      <protection hidden="1"/>
    </xf>
    <xf numFmtId="251" fontId="7" fillId="0" borderId="23" xfId="0" applyNumberFormat="1" applyFont="1" applyFill="1" applyBorder="1" applyAlignment="1" applyProtection="1">
      <alignment horizontal="center" vertical="center"/>
      <protection hidden="1"/>
    </xf>
    <xf numFmtId="251" fontId="7" fillId="0" borderId="34" xfId="0" applyNumberFormat="1" applyFont="1" applyFill="1" applyBorder="1" applyAlignment="1" applyProtection="1">
      <alignment horizontal="center" vertical="center"/>
      <protection hidden="1"/>
    </xf>
    <xf numFmtId="4" fontId="7" fillId="0" borderId="34" xfId="0" applyNumberFormat="1" applyFont="1" applyFill="1" applyBorder="1" applyAlignment="1" applyProtection="1">
      <alignment horizontal="center" vertical="center"/>
      <protection hidden="1"/>
    </xf>
    <xf numFmtId="4" fontId="7" fillId="0" borderId="36"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protection locked="0"/>
    </xf>
    <xf numFmtId="0" fontId="7" fillId="0" borderId="31" xfId="0" applyFont="1" applyFill="1" applyBorder="1" applyAlignment="1" applyProtection="1">
      <alignment horizontal="center" vertical="center"/>
      <protection hidden="1"/>
    </xf>
    <xf numFmtId="4" fontId="7" fillId="0" borderId="0" xfId="0" applyNumberFormat="1" applyFont="1" applyFill="1" applyBorder="1" applyAlignment="1" applyProtection="1">
      <alignment horizontal="center" vertical="center"/>
      <protection hidden="1"/>
    </xf>
    <xf numFmtId="217" fontId="7" fillId="0" borderId="34" xfId="0" applyNumberFormat="1" applyFont="1" applyFill="1" applyBorder="1" applyAlignment="1" applyProtection="1">
      <alignment horizontal="center" vertical="center"/>
      <protection hidden="1"/>
    </xf>
    <xf numFmtId="175" fontId="7" fillId="0" borderId="36" xfId="0" applyNumberFormat="1"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3" fontId="12" fillId="31" borderId="0" xfId="0" applyNumberFormat="1" applyFont="1" applyFill="1" applyBorder="1" applyAlignment="1" applyProtection="1">
      <alignment horizontal="centerContinuous" vertical="center"/>
      <protection hidden="1"/>
    </xf>
    <xf numFmtId="3" fontId="48" fillId="31" borderId="0" xfId="0" applyNumberFormat="1" applyFont="1" applyFill="1" applyBorder="1" applyAlignment="1" applyProtection="1">
      <alignment horizontal="left" vertical="center"/>
      <protection hidden="1"/>
    </xf>
    <xf numFmtId="4" fontId="12" fillId="61" borderId="23" xfId="0" applyNumberFormat="1" applyFont="1" applyFill="1" applyBorder="1" applyAlignment="1" applyProtection="1">
      <alignment horizontal="center" vertical="center"/>
      <protection hidden="1"/>
    </xf>
    <xf numFmtId="4" fontId="7" fillId="61" borderId="0" xfId="0" applyNumberFormat="1" applyFont="1" applyFill="1" applyBorder="1" applyAlignment="1" applyProtection="1">
      <alignment horizontal="center" vertical="center"/>
      <protection hidden="1"/>
    </xf>
    <xf numFmtId="3" fontId="48" fillId="31" borderId="0" xfId="0" applyNumberFormat="1" applyFont="1" applyFill="1" applyBorder="1" applyAlignment="1" applyProtection="1">
      <alignment vertical="center"/>
      <protection hidden="1"/>
    </xf>
    <xf numFmtId="4" fontId="7" fillId="31" borderId="0" xfId="0" applyNumberFormat="1" applyFont="1" applyFill="1" applyBorder="1" applyAlignment="1" applyProtection="1">
      <alignment horizontal="center" vertical="center"/>
      <protection hidden="1"/>
    </xf>
    <xf numFmtId="168" fontId="7" fillId="61" borderId="0" xfId="0" applyNumberFormat="1" applyFont="1" applyFill="1" applyBorder="1" applyAlignment="1" applyProtection="1">
      <alignment horizontal="center" vertical="center"/>
      <protection hidden="1"/>
    </xf>
    <xf numFmtId="3" fontId="7" fillId="61" borderId="0" xfId="0" applyNumberFormat="1" applyFont="1" applyFill="1" applyBorder="1" applyAlignment="1" applyProtection="1">
      <alignment vertical="center"/>
      <protection hidden="1"/>
    </xf>
    <xf numFmtId="168" fontId="7" fillId="31" borderId="0" xfId="0" applyNumberFormat="1" applyFont="1" applyFill="1" applyBorder="1" applyAlignment="1" applyProtection="1">
      <alignment vertical="center"/>
      <protection hidden="1"/>
    </xf>
    <xf numFmtId="4" fontId="12" fillId="31" borderId="0" xfId="0" applyNumberFormat="1" applyFont="1" applyFill="1" applyBorder="1" applyAlignment="1" applyProtection="1">
      <alignment horizontal="center" vertical="center"/>
      <protection hidden="1"/>
    </xf>
    <xf numFmtId="168" fontId="7" fillId="51" borderId="0" xfId="0" applyNumberFormat="1" applyFont="1" applyFill="1" applyBorder="1" applyAlignment="1" applyProtection="1">
      <alignment vertical="center"/>
      <protection hidden="1"/>
    </xf>
    <xf numFmtId="195" fontId="7" fillId="61" borderId="0" xfId="0" applyNumberFormat="1" applyFont="1" applyFill="1" applyBorder="1" applyAlignment="1" applyProtection="1">
      <alignment horizontal="center" vertical="center"/>
      <protection hidden="1"/>
    </xf>
    <xf numFmtId="3" fontId="7" fillId="27" borderId="0" xfId="0" applyNumberFormat="1" applyFont="1" applyFill="1" applyBorder="1" applyAlignment="1" applyProtection="1">
      <alignment horizontal="center" vertical="center"/>
      <protection hidden="1"/>
    </xf>
    <xf numFmtId="0" fontId="7" fillId="27" borderId="0" xfId="0" applyNumberFormat="1" applyFont="1" applyFill="1" applyBorder="1" applyAlignment="1" applyProtection="1">
      <alignment vertical="center"/>
      <protection hidden="1"/>
    </xf>
    <xf numFmtId="3" fontId="7" fillId="27" borderId="0" xfId="0" applyNumberFormat="1" applyFont="1" applyFill="1" applyBorder="1" applyAlignment="1" applyProtection="1">
      <alignment vertical="center"/>
      <protection hidden="1"/>
    </xf>
    <xf numFmtId="195" fontId="7" fillId="27" borderId="0" xfId="0" applyNumberFormat="1" applyFont="1" applyFill="1" applyBorder="1" applyAlignment="1" applyProtection="1">
      <alignment horizontal="center" vertical="center"/>
      <protection hidden="1"/>
    </xf>
    <xf numFmtId="205" fontId="7" fillId="27" borderId="23" xfId="0" applyNumberFormat="1" applyFont="1" applyFill="1" applyBorder="1" applyAlignment="1" applyProtection="1">
      <alignment horizontal="center" vertical="center"/>
      <protection hidden="1"/>
    </xf>
    <xf numFmtId="3" fontId="12" fillId="31" borderId="0" xfId="0" applyNumberFormat="1" applyFont="1" applyFill="1" applyBorder="1" applyAlignment="1" applyProtection="1">
      <alignment horizontal="center" vertical="center" shrinkToFit="1"/>
      <protection hidden="1"/>
    </xf>
    <xf numFmtId="3" fontId="7" fillId="31" borderId="0" xfId="0" applyNumberFormat="1" applyFont="1" applyFill="1" applyBorder="1" applyAlignment="1" applyProtection="1">
      <alignment vertical="center"/>
      <protection hidden="1"/>
    </xf>
    <xf numFmtId="3" fontId="7" fillId="51" borderId="0" xfId="0" applyNumberFormat="1" applyFont="1" applyFill="1" applyBorder="1" applyAlignment="1" applyProtection="1">
      <alignment horizontal="right" vertical="center"/>
      <protection hidden="1"/>
    </xf>
    <xf numFmtId="4" fontId="12" fillId="0" borderId="0" xfId="0" applyNumberFormat="1" applyFont="1" applyFill="1" applyBorder="1" applyAlignment="1" applyProtection="1">
      <alignment horizontal="center" vertical="center"/>
      <protection hidden="1"/>
    </xf>
    <xf numFmtId="3" fontId="12" fillId="0" borderId="0" xfId="0" applyNumberFormat="1" applyFont="1" applyFill="1" applyBorder="1" applyAlignment="1" applyProtection="1">
      <alignment horizontal="center" vertical="center"/>
      <protection hidden="1"/>
    </xf>
    <xf numFmtId="3" fontId="12" fillId="27" borderId="0" xfId="0" applyNumberFormat="1" applyFont="1" applyFill="1" applyBorder="1" applyAlignment="1" applyProtection="1">
      <alignment horizontal="center" vertical="center"/>
      <protection hidden="1"/>
    </xf>
    <xf numFmtId="191" fontId="12" fillId="31" borderId="0" xfId="0" applyNumberFormat="1" applyFont="1" applyFill="1" applyBorder="1" applyAlignment="1" applyProtection="1">
      <alignment horizontal="center" vertical="center"/>
      <protection hidden="1"/>
    </xf>
    <xf numFmtId="220" fontId="7" fillId="0" borderId="0" xfId="0" applyNumberFormat="1" applyFont="1" applyFill="1" applyBorder="1" applyAlignment="1" applyProtection="1">
      <alignment horizontal="center" vertical="center"/>
      <protection hidden="1"/>
    </xf>
    <xf numFmtId="222" fontId="7" fillId="0" borderId="0" xfId="0" applyNumberFormat="1" applyFont="1" applyFill="1" applyBorder="1" applyAlignment="1" applyProtection="1">
      <alignment vertical="center"/>
      <protection hidden="1"/>
    </xf>
    <xf numFmtId="205" fontId="7" fillId="0" borderId="0" xfId="0" applyNumberFormat="1" applyFont="1" applyAlignment="1" applyProtection="1">
      <alignment vertical="center"/>
      <protection hidden="1"/>
    </xf>
    <xf numFmtId="223" fontId="7" fillId="0" borderId="0" xfId="0" applyNumberFormat="1" applyFont="1" applyFill="1" applyBorder="1" applyAlignment="1" applyProtection="1">
      <alignment vertical="center"/>
      <protection hidden="1"/>
    </xf>
    <xf numFmtId="205" fontId="7" fillId="0" borderId="0" xfId="0" applyNumberFormat="1" applyFont="1" applyFill="1" applyBorder="1" applyAlignment="1" applyProtection="1">
      <alignment vertical="center"/>
      <protection hidden="1"/>
    </xf>
    <xf numFmtId="167" fontId="7" fillId="0" borderId="0" xfId="0" applyNumberFormat="1" applyFont="1" applyFill="1" applyBorder="1" applyAlignment="1" applyProtection="1">
      <alignment horizontal="center" vertical="center"/>
      <protection hidden="1"/>
    </xf>
    <xf numFmtId="167" fontId="7" fillId="31" borderId="0" xfId="0" applyNumberFormat="1" applyFont="1" applyFill="1" applyBorder="1" applyAlignment="1" applyProtection="1">
      <alignment horizontal="center" vertical="center"/>
      <protection hidden="1"/>
    </xf>
    <xf numFmtId="191" fontId="12" fillId="51" borderId="0" xfId="0" applyNumberFormat="1" applyFont="1" applyFill="1" applyBorder="1" applyAlignment="1" applyProtection="1">
      <alignment vertical="center"/>
      <protection hidden="1"/>
    </xf>
    <xf numFmtId="167" fontId="7" fillId="51" borderId="0" xfId="0" applyNumberFormat="1" applyFont="1" applyFill="1" applyBorder="1" applyAlignment="1" applyProtection="1">
      <alignment vertical="center"/>
      <protection hidden="1"/>
    </xf>
    <xf numFmtId="3" fontId="12" fillId="32" borderId="0" xfId="0" applyNumberFormat="1" applyFont="1" applyFill="1" applyBorder="1" applyAlignment="1" applyProtection="1">
      <alignment vertical="center"/>
      <protection hidden="1"/>
    </xf>
    <xf numFmtId="191" fontId="12" fillId="32" borderId="0" xfId="0" applyNumberFormat="1" applyFont="1" applyFill="1" applyBorder="1" applyAlignment="1" applyProtection="1">
      <alignment vertical="center"/>
      <protection hidden="1"/>
    </xf>
    <xf numFmtId="4" fontId="12" fillId="32" borderId="0" xfId="0" applyNumberFormat="1" applyFont="1" applyFill="1" applyBorder="1" applyAlignment="1" applyProtection="1">
      <alignment vertical="center"/>
      <protection hidden="1"/>
    </xf>
    <xf numFmtId="191" fontId="12" fillId="0" borderId="0" xfId="0" applyNumberFormat="1" applyFont="1" applyFill="1" applyBorder="1" applyAlignment="1" applyProtection="1">
      <alignment horizontal="center" vertical="center"/>
      <protection hidden="1"/>
    </xf>
    <xf numFmtId="0" fontId="7" fillId="0" borderId="0" xfId="0" applyFont="1" applyBorder="1" applyAlignment="1" applyProtection="1">
      <alignment vertical="center"/>
      <protection locked="0"/>
    </xf>
    <xf numFmtId="4" fontId="12" fillId="61" borderId="35" xfId="0" applyNumberFormat="1" applyFont="1" applyFill="1" applyBorder="1" applyAlignment="1" applyProtection="1">
      <alignment horizontal="center" vertical="center"/>
      <protection hidden="1"/>
    </xf>
    <xf numFmtId="4" fontId="12" fillId="27" borderId="23" xfId="0" applyNumberFormat="1" applyFont="1" applyFill="1" applyBorder="1" applyAlignment="1" applyProtection="1">
      <alignment horizontal="center" vertical="center"/>
      <protection hidden="1"/>
    </xf>
    <xf numFmtId="174" fontId="7" fillId="0" borderId="23" xfId="115" applyNumberFormat="1" applyFont="1" applyFill="1" applyBorder="1" applyAlignment="1" applyProtection="1">
      <alignment vertical="center"/>
      <protection hidden="1"/>
    </xf>
    <xf numFmtId="174" fontId="7" fillId="0" borderId="34" xfId="115" applyNumberFormat="1" applyFont="1" applyFill="1" applyBorder="1" applyAlignment="1" applyProtection="1">
      <alignment vertical="center"/>
      <protection hidden="1"/>
    </xf>
    <xf numFmtId="0" fontId="4" fillId="0" borderId="0" xfId="112" applyProtection="1">
      <alignment/>
      <protection locked="0"/>
    </xf>
    <xf numFmtId="174" fontId="12" fillId="61" borderId="36" xfId="111" applyNumberFormat="1" applyFont="1" applyFill="1" applyBorder="1" applyAlignment="1" applyProtection="1">
      <alignment vertical="center"/>
      <protection hidden="1"/>
    </xf>
    <xf numFmtId="219" fontId="12" fillId="61" borderId="23" xfId="111" applyNumberFormat="1" applyFont="1" applyFill="1" applyBorder="1" applyAlignment="1" applyProtection="1">
      <alignment vertical="center"/>
      <protection hidden="1"/>
    </xf>
    <xf numFmtId="174" fontId="12" fillId="27" borderId="35" xfId="111" applyNumberFormat="1" applyFont="1" applyFill="1" applyBorder="1" applyAlignment="1" applyProtection="1">
      <alignment vertical="center"/>
      <protection hidden="1"/>
    </xf>
    <xf numFmtId="174" fontId="12" fillId="27" borderId="23" xfId="111" applyNumberFormat="1" applyFont="1" applyFill="1" applyBorder="1" applyAlignment="1" applyProtection="1">
      <alignment vertical="center"/>
      <protection hidden="1"/>
    </xf>
    <xf numFmtId="174" fontId="12" fillId="27" borderId="37" xfId="111" applyNumberFormat="1" applyFont="1" applyFill="1" applyBorder="1" applyAlignment="1" applyProtection="1">
      <alignment vertical="center"/>
      <protection hidden="1"/>
    </xf>
    <xf numFmtId="243" fontId="12" fillId="32" borderId="37" xfId="111" applyNumberFormat="1" applyFont="1" applyFill="1" applyBorder="1" applyAlignment="1" applyProtection="1">
      <alignment vertical="center"/>
      <protection hidden="1"/>
    </xf>
    <xf numFmtId="174" fontId="12" fillId="32" borderId="52" xfId="111" applyNumberFormat="1" applyFont="1" applyFill="1" applyBorder="1" applyAlignment="1" applyProtection="1">
      <alignment vertical="center"/>
      <protection hidden="1"/>
    </xf>
    <xf numFmtId="174" fontId="12" fillId="61" borderId="52" xfId="111" applyNumberFormat="1" applyFont="1" applyFill="1" applyBorder="1" applyAlignment="1" applyProtection="1">
      <alignment vertical="center"/>
      <protection hidden="1"/>
    </xf>
    <xf numFmtId="0" fontId="0" fillId="0" borderId="0" xfId="0" applyAlignment="1" applyProtection="1">
      <alignment/>
      <protection locked="0"/>
    </xf>
    <xf numFmtId="0" fontId="62" fillId="0" borderId="0" xfId="112" applyFont="1" applyFill="1" applyAlignment="1" applyProtection="1">
      <alignment vertical="center"/>
      <protection hidden="1"/>
    </xf>
    <xf numFmtId="0" fontId="84" fillId="0" borderId="0" xfId="112" applyFont="1" applyFill="1" applyAlignment="1" applyProtection="1">
      <alignment vertical="center"/>
      <protection hidden="1"/>
    </xf>
    <xf numFmtId="197" fontId="7" fillId="0" borderId="54" xfId="0" applyNumberFormat="1" applyFont="1" applyFill="1" applyBorder="1" applyAlignment="1" applyProtection="1">
      <alignment/>
      <protection hidden="1"/>
    </xf>
    <xf numFmtId="197" fontId="7" fillId="0" borderId="31" xfId="0" applyNumberFormat="1" applyFont="1" applyFill="1" applyBorder="1" applyAlignment="1" applyProtection="1">
      <alignment/>
      <protection hidden="1"/>
    </xf>
    <xf numFmtId="173" fontId="7" fillId="38" borderId="32" xfId="0" applyNumberFormat="1" applyFont="1" applyFill="1" applyBorder="1" applyAlignment="1" applyProtection="1">
      <alignment/>
      <protection locked="0"/>
    </xf>
    <xf numFmtId="206" fontId="7" fillId="38" borderId="32" xfId="0" applyNumberFormat="1" applyFont="1" applyFill="1" applyBorder="1" applyAlignment="1" applyProtection="1">
      <alignment/>
      <protection locked="0"/>
    </xf>
    <xf numFmtId="173" fontId="7" fillId="61" borderId="23" xfId="0" applyNumberFormat="1" applyFont="1" applyFill="1" applyBorder="1" applyAlignment="1" applyProtection="1">
      <alignment/>
      <protection hidden="1"/>
    </xf>
    <xf numFmtId="206" fontId="7" fillId="61" borderId="23" xfId="0" applyNumberFormat="1" applyFont="1" applyFill="1" applyBorder="1" applyAlignment="1" applyProtection="1">
      <alignment/>
      <protection hidden="1"/>
    </xf>
    <xf numFmtId="173" fontId="7" fillId="0" borderId="34" xfId="0" applyNumberFormat="1" applyFont="1" applyFill="1" applyBorder="1" applyAlignment="1" applyProtection="1">
      <alignment/>
      <protection hidden="1"/>
    </xf>
    <xf numFmtId="206" fontId="7" fillId="0" borderId="34" xfId="0" applyNumberFormat="1" applyFont="1" applyFill="1" applyBorder="1" applyAlignment="1" applyProtection="1">
      <alignment/>
      <protection hidden="1"/>
    </xf>
    <xf numFmtId="173" fontId="7" fillId="0" borderId="36" xfId="0" applyNumberFormat="1" applyFont="1" applyFill="1" applyBorder="1" applyAlignment="1" applyProtection="1">
      <alignment/>
      <protection hidden="1"/>
    </xf>
    <xf numFmtId="206" fontId="7" fillId="0" borderId="36" xfId="0" applyNumberFormat="1" applyFont="1" applyFill="1" applyBorder="1" applyAlignment="1" applyProtection="1">
      <alignment/>
      <protection hidden="1"/>
    </xf>
    <xf numFmtId="206" fontId="7" fillId="0" borderId="23" xfId="0" applyNumberFormat="1" applyFont="1" applyFill="1" applyBorder="1" applyAlignment="1" applyProtection="1">
      <alignment/>
      <protection hidden="1"/>
    </xf>
    <xf numFmtId="0" fontId="7" fillId="0" borderId="33" xfId="0" applyFont="1" applyFill="1" applyBorder="1" applyAlignment="1" applyProtection="1">
      <alignment vertical="center"/>
      <protection hidden="1"/>
    </xf>
    <xf numFmtId="1" fontId="7" fillId="0" borderId="36" xfId="0" applyNumberFormat="1" applyFont="1" applyFill="1" applyBorder="1" applyAlignment="1" applyProtection="1">
      <alignment vertical="center"/>
      <protection hidden="1"/>
    </xf>
    <xf numFmtId="173" fontId="7" fillId="0" borderId="36" xfId="0" applyNumberFormat="1" applyFont="1" applyFill="1" applyBorder="1" applyAlignment="1" applyProtection="1">
      <alignment vertical="center"/>
      <protection hidden="1"/>
    </xf>
    <xf numFmtId="171" fontId="7" fillId="51" borderId="0" xfId="0" applyNumberFormat="1" applyFont="1" applyFill="1" applyBorder="1" applyAlignment="1" applyProtection="1">
      <alignment horizontal="center" vertical="center"/>
      <protection hidden="1"/>
    </xf>
    <xf numFmtId="1" fontId="7" fillId="0" borderId="31" xfId="0" applyNumberFormat="1" applyFont="1" applyFill="1" applyBorder="1" applyAlignment="1" applyProtection="1">
      <alignment vertical="center"/>
      <protection hidden="1"/>
    </xf>
    <xf numFmtId="173" fontId="7" fillId="0" borderId="21" xfId="0" applyNumberFormat="1" applyFont="1" applyFill="1" applyBorder="1" applyAlignment="1" applyProtection="1">
      <alignment vertical="center"/>
      <protection hidden="1"/>
    </xf>
    <xf numFmtId="167" fontId="29" fillId="51" borderId="22" xfId="0" applyNumberFormat="1" applyFont="1" applyFill="1" applyBorder="1" applyAlignment="1" applyProtection="1">
      <alignment horizontal="center"/>
      <protection hidden="1"/>
    </xf>
    <xf numFmtId="167" fontId="0" fillId="51" borderId="0" xfId="0" applyNumberFormat="1" applyFill="1" applyAlignment="1" applyProtection="1">
      <alignment horizontal="center"/>
      <protection hidden="1"/>
    </xf>
    <xf numFmtId="0" fontId="85" fillId="59" borderId="0" xfId="0" applyFont="1" applyFill="1" applyAlignment="1" applyProtection="1">
      <alignment wrapText="1"/>
      <protection hidden="1"/>
    </xf>
    <xf numFmtId="0" fontId="86" fillId="59" borderId="0" xfId="0" applyFont="1" applyFill="1" applyAlignment="1" applyProtection="1">
      <alignment wrapText="1"/>
      <protection hidden="1"/>
    </xf>
    <xf numFmtId="171" fontId="7" fillId="38" borderId="55" xfId="0" applyNumberFormat="1" applyFont="1" applyFill="1" applyBorder="1" applyAlignment="1" applyProtection="1">
      <alignment/>
      <protection locked="0"/>
    </xf>
    <xf numFmtId="171" fontId="7" fillId="0" borderId="52" xfId="0" applyNumberFormat="1" applyFont="1" applyFill="1" applyBorder="1" applyAlignment="1" applyProtection="1">
      <alignment/>
      <protection hidden="1"/>
    </xf>
    <xf numFmtId="1" fontId="46" fillId="0" borderId="0" xfId="113" applyNumberFormat="1" applyFont="1" applyProtection="1">
      <alignment/>
      <protection hidden="1"/>
    </xf>
    <xf numFmtId="0" fontId="46" fillId="0" borderId="0" xfId="113" applyFont="1" applyProtection="1">
      <alignment/>
      <protection hidden="1"/>
    </xf>
    <xf numFmtId="1" fontId="62" fillId="0" borderId="0" xfId="113" applyNumberFormat="1" applyFont="1" applyProtection="1">
      <alignment/>
      <protection hidden="1"/>
    </xf>
    <xf numFmtId="0" fontId="62" fillId="0" borderId="0" xfId="113" applyFont="1" applyProtection="1">
      <alignment/>
      <protection hidden="1"/>
    </xf>
    <xf numFmtId="9" fontId="46" fillId="0" borderId="0" xfId="113" applyNumberFormat="1" applyFont="1" applyBorder="1" applyAlignment="1" applyProtection="1">
      <alignment horizontal="center" vertical="center"/>
      <protection hidden="1"/>
    </xf>
    <xf numFmtId="0" fontId="46" fillId="0" borderId="0" xfId="113" applyFont="1" applyAlignment="1" applyProtection="1">
      <alignment horizontal="center" vertical="center"/>
      <protection hidden="1"/>
    </xf>
    <xf numFmtId="173" fontId="7" fillId="0" borderId="23" xfId="0" applyNumberFormat="1" applyFont="1" applyFill="1" applyBorder="1" applyAlignment="1" applyProtection="1">
      <alignment vertical="center"/>
      <protection locked="0"/>
    </xf>
    <xf numFmtId="3" fontId="7" fillId="61" borderId="23" xfId="0" applyNumberFormat="1" applyFont="1" applyFill="1" applyBorder="1" applyAlignment="1" applyProtection="1">
      <alignment horizontal="center" vertical="center"/>
      <protection hidden="1"/>
    </xf>
    <xf numFmtId="171" fontId="7" fillId="61" borderId="23" xfId="0" applyNumberFormat="1" applyFont="1" applyFill="1" applyBorder="1" applyAlignment="1" applyProtection="1">
      <alignment horizontal="center" vertical="center"/>
      <protection hidden="1"/>
    </xf>
    <xf numFmtId="4" fontId="12" fillId="38" borderId="32" xfId="0" applyNumberFormat="1" applyFont="1" applyFill="1" applyBorder="1" applyAlignment="1" applyProtection="1">
      <alignment horizontal="center" vertical="center"/>
      <protection locked="0"/>
    </xf>
    <xf numFmtId="0" fontId="87" fillId="27" borderId="0" xfId="0" applyFont="1" applyFill="1" applyBorder="1" applyAlignment="1" applyProtection="1">
      <alignment vertical="center"/>
      <protection hidden="1"/>
    </xf>
    <xf numFmtId="0" fontId="88" fillId="27" borderId="0" xfId="0" applyFont="1" applyFill="1" applyBorder="1" applyAlignment="1" applyProtection="1">
      <alignment vertical="center"/>
      <protection hidden="1"/>
    </xf>
    <xf numFmtId="20" fontId="7" fillId="0" borderId="0" xfId="0" applyNumberFormat="1" applyFont="1" applyAlignment="1" applyProtection="1">
      <alignment/>
      <protection hidden="1"/>
    </xf>
    <xf numFmtId="0" fontId="13" fillId="0" borderId="0" xfId="0" applyFont="1" applyFill="1" applyBorder="1" applyAlignment="1" applyProtection="1">
      <alignment vertical="center"/>
      <protection hidden="1"/>
    </xf>
    <xf numFmtId="0" fontId="45" fillId="0" borderId="0" xfId="0" applyFont="1" applyFill="1" applyBorder="1" applyAlignment="1" applyProtection="1">
      <alignment horizontal="justify" vertical="top" wrapText="1"/>
      <protection hidden="1"/>
    </xf>
    <xf numFmtId="0" fontId="11" fillId="0" borderId="27" xfId="0" applyFont="1" applyBorder="1" applyAlignment="1" applyProtection="1">
      <alignment horizontal="left" wrapText="1" indent="1"/>
      <protection hidden="1"/>
    </xf>
    <xf numFmtId="0" fontId="13" fillId="0" borderId="0" xfId="0" applyFont="1" applyBorder="1" applyAlignment="1" applyProtection="1">
      <alignment horizontal="center" vertical="center"/>
      <protection hidden="1"/>
    </xf>
    <xf numFmtId="0" fontId="46" fillId="0" borderId="0" xfId="0" applyFont="1" applyAlignment="1" applyProtection="1">
      <alignment/>
      <protection hidden="1"/>
    </xf>
    <xf numFmtId="0" fontId="46" fillId="0" borderId="56" xfId="0" applyFont="1" applyBorder="1" applyAlignment="1" applyProtection="1">
      <alignment/>
      <protection hidden="1"/>
    </xf>
    <xf numFmtId="0" fontId="46" fillId="0" borderId="26" xfId="0" applyFont="1" applyBorder="1" applyAlignment="1" applyProtection="1">
      <alignment/>
      <protection hidden="1"/>
    </xf>
    <xf numFmtId="0" fontId="46" fillId="0" borderId="28" xfId="0" applyFont="1" applyBorder="1" applyAlignment="1" applyProtection="1">
      <alignment/>
      <protection hidden="1"/>
    </xf>
    <xf numFmtId="0" fontId="39" fillId="0" borderId="0" xfId="0" applyFont="1" applyBorder="1" applyAlignment="1" applyProtection="1">
      <alignment/>
      <protection hidden="1"/>
    </xf>
    <xf numFmtId="0" fontId="19" fillId="54" borderId="0" xfId="0" applyFont="1" applyFill="1" applyAlignment="1" applyProtection="1">
      <alignment horizontal="centerContinuous" vertical="center" wrapText="1"/>
      <protection hidden="1"/>
    </xf>
    <xf numFmtId="0" fontId="46" fillId="54" borderId="0" xfId="0" applyFont="1" applyFill="1" applyAlignment="1" applyProtection="1">
      <alignment horizontal="centerContinuous" vertical="center" wrapText="1"/>
      <protection hidden="1"/>
    </xf>
    <xf numFmtId="0" fontId="7" fillId="0" borderId="0" xfId="0" applyFont="1" applyAlignment="1" applyProtection="1">
      <alignment horizontal="center"/>
      <protection hidden="1"/>
    </xf>
    <xf numFmtId="0" fontId="7" fillId="0" borderId="56" xfId="0" applyFont="1" applyBorder="1" applyAlignment="1" applyProtection="1">
      <alignment horizontal="center"/>
      <protection hidden="1"/>
    </xf>
    <xf numFmtId="0" fontId="19" fillId="64" borderId="57" xfId="0" applyFont="1" applyFill="1" applyBorder="1" applyAlignment="1" applyProtection="1">
      <alignment vertical="center"/>
      <protection hidden="1"/>
    </xf>
    <xf numFmtId="0" fontId="19" fillId="64" borderId="58" xfId="0" applyFont="1" applyFill="1" applyBorder="1" applyAlignment="1" applyProtection="1">
      <alignment/>
      <protection hidden="1"/>
    </xf>
    <xf numFmtId="0" fontId="27" fillId="64" borderId="58" xfId="0" applyFont="1" applyFill="1" applyBorder="1" applyAlignment="1" applyProtection="1">
      <alignment/>
      <protection hidden="1"/>
    </xf>
    <xf numFmtId="0" fontId="90" fillId="0" borderId="59" xfId="0" applyFont="1" applyFill="1" applyBorder="1" applyAlignment="1" applyProtection="1">
      <alignment horizontal="center" vertical="center"/>
      <protection hidden="1"/>
    </xf>
    <xf numFmtId="0" fontId="41" fillId="54" borderId="0" xfId="0" applyFont="1" applyFill="1" applyAlignment="1" applyProtection="1">
      <alignment horizontal="centerContinuous" vertical="center" wrapText="1"/>
      <protection hidden="1"/>
    </xf>
    <xf numFmtId="0" fontId="7" fillId="0" borderId="0" xfId="0" applyFont="1" applyAlignment="1" applyProtection="1">
      <alignment/>
      <protection locked="0"/>
    </xf>
    <xf numFmtId="0" fontId="7" fillId="34" borderId="0" xfId="0" applyFont="1" applyFill="1" applyAlignment="1" applyProtection="1">
      <alignment/>
      <protection hidden="1"/>
    </xf>
    <xf numFmtId="0" fontId="41" fillId="34" borderId="0" xfId="0" applyFont="1" applyFill="1" applyAlignment="1" applyProtection="1">
      <alignment/>
      <protection hidden="1"/>
    </xf>
    <xf numFmtId="4" fontId="28" fillId="50" borderId="0" xfId="0" applyNumberFormat="1" applyFont="1" applyFill="1" applyBorder="1" applyAlignment="1" applyProtection="1">
      <alignment/>
      <protection hidden="1"/>
    </xf>
    <xf numFmtId="0" fontId="92" fillId="64" borderId="58" xfId="0" applyFont="1" applyFill="1" applyBorder="1" applyAlignment="1" applyProtection="1">
      <alignment horizontal="right" vertical="center"/>
      <protection hidden="1"/>
    </xf>
    <xf numFmtId="0" fontId="62" fillId="0" borderId="0" xfId="0" applyFont="1" applyAlignment="1" applyProtection="1">
      <alignment/>
      <protection hidden="1"/>
    </xf>
    <xf numFmtId="0" fontId="0" fillId="59" borderId="0" xfId="0"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31" fillId="65" borderId="21" xfId="0" applyFont="1" applyFill="1" applyBorder="1" applyAlignment="1" applyProtection="1">
      <alignment horizontal="center" vertical="center"/>
      <protection hidden="1"/>
    </xf>
    <xf numFmtId="0" fontId="93" fillId="66" borderId="21" xfId="0" applyFont="1" applyFill="1" applyBorder="1" applyAlignment="1" applyProtection="1">
      <alignment horizontal="center" vertical="center"/>
      <protection hidden="1"/>
    </xf>
    <xf numFmtId="0" fontId="31" fillId="0" borderId="21" xfId="0" applyFont="1" applyBorder="1" applyAlignment="1" applyProtection="1">
      <alignment horizontal="center" vertical="center"/>
      <protection hidden="1"/>
    </xf>
    <xf numFmtId="0" fontId="71" fillId="39" borderId="21" xfId="0" applyFont="1" applyFill="1" applyBorder="1" applyAlignment="1" applyProtection="1">
      <alignment horizontal="center" vertical="center"/>
      <protection hidden="1"/>
    </xf>
    <xf numFmtId="0" fontId="94" fillId="0" borderId="0" xfId="0" applyFont="1" applyAlignment="1" applyProtection="1">
      <alignment/>
      <protection hidden="1"/>
    </xf>
    <xf numFmtId="0" fontId="97" fillId="0" borderId="0" xfId="0" applyFont="1" applyAlignment="1" applyProtection="1">
      <alignment vertical="top"/>
      <protection hidden="1"/>
    </xf>
    <xf numFmtId="0" fontId="95" fillId="0" borderId="0" xfId="0" applyFont="1" applyAlignment="1" applyProtection="1">
      <alignment horizontal="justify" vertical="top"/>
      <protection hidden="1"/>
    </xf>
    <xf numFmtId="0" fontId="96" fillId="67" borderId="0" xfId="0" applyFont="1" applyFill="1" applyAlignment="1" applyProtection="1">
      <alignment vertical="top"/>
      <protection hidden="1"/>
    </xf>
    <xf numFmtId="172" fontId="7" fillId="0" borderId="31" xfId="0" applyNumberFormat="1" applyFont="1" applyFill="1" applyBorder="1" applyAlignment="1" applyProtection="1">
      <alignment vertical="center"/>
      <protection hidden="1"/>
    </xf>
    <xf numFmtId="0" fontId="44" fillId="67" borderId="0" xfId="0" applyFont="1" applyFill="1" applyAlignment="1" applyProtection="1">
      <alignment/>
      <protection hidden="1"/>
    </xf>
    <xf numFmtId="0" fontId="7" fillId="67" borderId="0" xfId="0" applyFont="1" applyFill="1" applyAlignment="1" applyProtection="1">
      <alignment/>
      <protection hidden="1"/>
    </xf>
    <xf numFmtId="0" fontId="97" fillId="0" borderId="0" xfId="0" applyFont="1" applyBorder="1" applyAlignment="1" applyProtection="1">
      <alignment/>
      <protection hidden="1"/>
    </xf>
    <xf numFmtId="0" fontId="46" fillId="0" borderId="0" xfId="115" applyNumberFormat="1" applyFont="1" applyAlignment="1" applyProtection="1">
      <alignment vertical="center"/>
      <protection hidden="1"/>
    </xf>
    <xf numFmtId="0" fontId="7" fillId="0" borderId="0" xfId="0" applyFont="1" applyAlignment="1" applyProtection="1">
      <alignment horizontal="left" vertical="top" wrapText="1" indent="1"/>
      <protection hidden="1"/>
    </xf>
    <xf numFmtId="0" fontId="12" fillId="34" borderId="0" xfId="0" applyFont="1" applyFill="1" applyAlignment="1" applyProtection="1">
      <alignment horizontal="center"/>
      <protection hidden="1"/>
    </xf>
    <xf numFmtId="0" fontId="12" fillId="34" borderId="0" xfId="0" applyFont="1" applyFill="1" applyAlignment="1" applyProtection="1">
      <alignment horizontal="right"/>
      <protection hidden="1"/>
    </xf>
    <xf numFmtId="0" fontId="12" fillId="34" borderId="0" xfId="0" applyFont="1" applyFill="1" applyAlignment="1" applyProtection="1">
      <alignment horizontal="centerContinuous"/>
      <protection hidden="1"/>
    </xf>
    <xf numFmtId="0" fontId="12" fillId="34" borderId="22" xfId="0" applyFont="1" applyFill="1" applyBorder="1" applyAlignment="1" applyProtection="1">
      <alignment horizontal="center"/>
      <protection hidden="1"/>
    </xf>
    <xf numFmtId="0" fontId="12" fillId="34" borderId="22" xfId="0" applyFont="1" applyFill="1" applyBorder="1" applyAlignment="1" applyProtection="1">
      <alignment/>
      <protection hidden="1"/>
    </xf>
    <xf numFmtId="0" fontId="7" fillId="34" borderId="22" xfId="0" applyFont="1" applyFill="1" applyBorder="1" applyAlignment="1" applyProtection="1">
      <alignment/>
      <protection hidden="1"/>
    </xf>
    <xf numFmtId="0" fontId="7" fillId="34" borderId="22" xfId="0" applyFont="1" applyFill="1" applyBorder="1" applyAlignment="1" applyProtection="1">
      <alignment horizontal="right"/>
      <protection hidden="1"/>
    </xf>
    <xf numFmtId="0" fontId="12" fillId="0" borderId="0" xfId="0" applyFont="1" applyFill="1" applyAlignment="1" applyProtection="1">
      <alignment horizontal="center"/>
      <protection hidden="1"/>
    </xf>
    <xf numFmtId="0" fontId="12" fillId="0" borderId="28" xfId="0" applyFont="1" applyBorder="1" applyAlignment="1" applyProtection="1">
      <alignment/>
      <protection hidden="1"/>
    </xf>
    <xf numFmtId="4" fontId="7" fillId="0" borderId="26" xfId="0" applyNumberFormat="1" applyFont="1" applyBorder="1" applyAlignment="1" applyProtection="1">
      <alignment horizontal="right" indent="1"/>
      <protection hidden="1"/>
    </xf>
    <xf numFmtId="4" fontId="7" fillId="0" borderId="0" xfId="0" applyNumberFormat="1" applyFont="1" applyAlignment="1" applyProtection="1">
      <alignment horizontal="right" indent="1"/>
      <protection hidden="1"/>
    </xf>
    <xf numFmtId="4" fontId="7" fillId="0" borderId="56" xfId="0" applyNumberFormat="1" applyFont="1" applyBorder="1" applyAlignment="1" applyProtection="1">
      <alignment horizontal="right" indent="1"/>
      <protection hidden="1"/>
    </xf>
    <xf numFmtId="0" fontId="12" fillId="0" borderId="0" xfId="0" applyFont="1" applyAlignment="1" applyProtection="1">
      <alignment horizontal="center"/>
      <protection hidden="1"/>
    </xf>
    <xf numFmtId="0" fontId="7" fillId="0" borderId="0" xfId="0" applyFont="1" applyBorder="1" applyAlignment="1" applyProtection="1">
      <alignment horizontal="center"/>
      <protection hidden="1"/>
    </xf>
    <xf numFmtId="0" fontId="12" fillId="0" borderId="60" xfId="0" applyFont="1" applyBorder="1" applyAlignment="1" applyProtection="1">
      <alignment horizontal="center"/>
      <protection hidden="1"/>
    </xf>
    <xf numFmtId="0" fontId="7" fillId="0" borderId="61" xfId="0" applyFont="1" applyBorder="1" applyAlignment="1" applyProtection="1">
      <alignment horizontal="center"/>
      <protection hidden="1"/>
    </xf>
    <xf numFmtId="0" fontId="7" fillId="0" borderId="60" xfId="0" applyFont="1" applyBorder="1" applyAlignment="1" applyProtection="1">
      <alignment horizontal="center"/>
      <protection hidden="1"/>
    </xf>
    <xf numFmtId="0" fontId="12" fillId="0" borderId="60" xfId="0" applyFont="1" applyBorder="1" applyAlignment="1" applyProtection="1">
      <alignment/>
      <protection hidden="1"/>
    </xf>
    <xf numFmtId="4" fontId="12" fillId="0" borderId="61" xfId="0" applyNumberFormat="1" applyFont="1" applyBorder="1" applyAlignment="1" applyProtection="1">
      <alignment horizontal="right" indent="1"/>
      <protection hidden="1"/>
    </xf>
    <xf numFmtId="4" fontId="12" fillId="0" borderId="60" xfId="0" applyNumberFormat="1" applyFont="1" applyBorder="1" applyAlignment="1" applyProtection="1">
      <alignment horizontal="right" indent="1"/>
      <protection hidden="1"/>
    </xf>
    <xf numFmtId="0" fontId="12" fillId="34" borderId="0" xfId="0" applyFont="1" applyFill="1" applyAlignment="1" applyProtection="1">
      <alignment/>
      <protection hidden="1"/>
    </xf>
    <xf numFmtId="0" fontId="7" fillId="0" borderId="0" xfId="0" applyFont="1" applyAlignment="1" applyProtection="1">
      <alignment horizontal="left" vertical="center" indent="1"/>
      <protection hidden="1"/>
    </xf>
    <xf numFmtId="0" fontId="47" fillId="0" borderId="0" xfId="0" applyFont="1" applyFill="1" applyBorder="1" applyAlignment="1" applyProtection="1">
      <alignment horizontal="center" vertical="center"/>
      <protection hidden="1"/>
    </xf>
    <xf numFmtId="0" fontId="7" fillId="0" borderId="0" xfId="0" applyFont="1" applyAlignment="1" applyProtection="1">
      <alignment horizontal="left" vertical="center" wrapText="1" indent="1"/>
      <protection hidden="1"/>
    </xf>
    <xf numFmtId="0" fontId="41" fillId="67" borderId="0" xfId="0" applyFont="1" applyFill="1" applyAlignment="1" applyProtection="1">
      <alignment/>
      <protection hidden="1"/>
    </xf>
    <xf numFmtId="0" fontId="101" fillId="0" borderId="0" xfId="0" applyFont="1" applyAlignment="1" applyProtection="1">
      <alignment/>
      <protection hidden="1"/>
    </xf>
    <xf numFmtId="0" fontId="47" fillId="0" borderId="23" xfId="0" applyFont="1" applyBorder="1" applyAlignment="1" applyProtection="1">
      <alignment vertical="center"/>
      <protection locked="0"/>
    </xf>
    <xf numFmtId="0" fontId="47" fillId="0" borderId="0" xfId="0" applyFont="1" applyFill="1" applyBorder="1" applyAlignment="1" applyProtection="1">
      <alignment horizontal="justify" vertical="top" wrapText="1"/>
      <protection hidden="1"/>
    </xf>
    <xf numFmtId="0" fontId="57" fillId="0" borderId="0" xfId="0" applyFont="1" applyAlignment="1" applyProtection="1">
      <alignment/>
      <protection hidden="1"/>
    </xf>
    <xf numFmtId="0" fontId="57" fillId="0" borderId="0" xfId="0" applyFont="1" applyAlignment="1" applyProtection="1">
      <alignment/>
      <protection hidden="1"/>
    </xf>
    <xf numFmtId="0" fontId="57" fillId="0" borderId="0" xfId="0" applyFont="1" applyAlignment="1" applyProtection="1">
      <alignment wrapText="1"/>
      <protection hidden="1"/>
    </xf>
    <xf numFmtId="0" fontId="57" fillId="0" borderId="0" xfId="0" applyFont="1" applyFill="1" applyBorder="1" applyAlignment="1" applyProtection="1">
      <alignment vertical="top"/>
      <protection hidden="1"/>
    </xf>
    <xf numFmtId="0" fontId="47" fillId="0" borderId="23" xfId="0" applyFont="1" applyFill="1" applyBorder="1" applyAlignment="1" applyProtection="1">
      <alignment horizontal="center" vertical="center" wrapText="1"/>
      <protection locked="0"/>
    </xf>
    <xf numFmtId="0" fontId="103" fillId="0" borderId="0" xfId="0" applyFont="1" applyAlignment="1" applyProtection="1">
      <alignment vertical="center"/>
      <protection hidden="1"/>
    </xf>
    <xf numFmtId="0" fontId="0" fillId="0" borderId="0" xfId="0" applyFont="1" applyBorder="1" applyAlignment="1" applyProtection="1">
      <alignment vertical="center" wrapText="1"/>
      <protection hidden="1"/>
    </xf>
    <xf numFmtId="0" fontId="104" fillId="0" borderId="0" xfId="0" applyFont="1" applyBorder="1" applyAlignment="1" applyProtection="1">
      <alignment vertical="top" wrapText="1"/>
      <protection hidden="1"/>
    </xf>
    <xf numFmtId="257" fontId="7" fillId="0" borderId="37" xfId="111" applyNumberFormat="1" applyFont="1" applyFill="1" applyBorder="1" applyAlignment="1" applyProtection="1">
      <alignment horizontal="left" vertical="center"/>
      <protection hidden="1"/>
    </xf>
    <xf numFmtId="0" fontId="0" fillId="32" borderId="0" xfId="0" applyFill="1" applyBorder="1" applyAlignment="1" applyProtection="1">
      <alignment vertical="center"/>
      <protection hidden="1"/>
    </xf>
    <xf numFmtId="0" fontId="0" fillId="32" borderId="51" xfId="0" applyFill="1" applyBorder="1" applyAlignment="1" applyProtection="1">
      <alignment vertical="center"/>
      <protection hidden="1"/>
    </xf>
    <xf numFmtId="0" fontId="0" fillId="32" borderId="49" xfId="0" applyFill="1" applyBorder="1" applyAlignment="1" applyProtection="1">
      <alignment vertical="center"/>
      <protection hidden="1"/>
    </xf>
    <xf numFmtId="0" fontId="0" fillId="32" borderId="45" xfId="0" applyFill="1" applyBorder="1" applyAlignment="1" applyProtection="1">
      <alignment vertical="center"/>
      <protection hidden="1"/>
    </xf>
    <xf numFmtId="0" fontId="0" fillId="32" borderId="50" xfId="0" applyFill="1" applyBorder="1" applyAlignment="1" applyProtection="1">
      <alignment vertical="center"/>
      <protection hidden="1"/>
    </xf>
    <xf numFmtId="0" fontId="0" fillId="31" borderId="0" xfId="0" applyFill="1" applyAlignment="1" applyProtection="1">
      <alignment vertical="center"/>
      <protection hidden="1"/>
    </xf>
    <xf numFmtId="0" fontId="0" fillId="51" borderId="0" xfId="0" applyFill="1" applyAlignment="1" applyProtection="1">
      <alignment vertical="center"/>
      <protection hidden="1"/>
    </xf>
    <xf numFmtId="1" fontId="7" fillId="0" borderId="52" xfId="0" applyNumberFormat="1" applyFont="1" applyFill="1" applyBorder="1" applyAlignment="1" applyProtection="1">
      <alignment vertical="center"/>
      <protection hidden="1"/>
    </xf>
    <xf numFmtId="173" fontId="7" fillId="0" borderId="35" xfId="0" applyNumberFormat="1" applyFont="1" applyFill="1" applyBorder="1" applyAlignment="1" applyProtection="1">
      <alignment vertical="center"/>
      <protection hidden="1"/>
    </xf>
    <xf numFmtId="173" fontId="7" fillId="38" borderId="32" xfId="0" applyNumberFormat="1" applyFont="1" applyFill="1" applyBorder="1" applyAlignment="1" applyProtection="1">
      <alignment vertical="center"/>
      <protection locked="0"/>
    </xf>
    <xf numFmtId="174" fontId="12" fillId="61" borderId="62" xfId="111" applyNumberFormat="1" applyFont="1" applyFill="1" applyBorder="1" applyAlignment="1" applyProtection="1">
      <alignment vertical="center"/>
      <protection hidden="1"/>
    </xf>
    <xf numFmtId="209" fontId="7" fillId="0" borderId="31" xfId="0" applyNumberFormat="1" applyFont="1" applyFill="1" applyBorder="1" applyAlignment="1" applyProtection="1">
      <alignment horizontal="center" vertical="center"/>
      <protection hidden="1"/>
    </xf>
    <xf numFmtId="4" fontId="49" fillId="60" borderId="23" xfId="0" applyNumberFormat="1" applyFont="1" applyFill="1" applyBorder="1" applyAlignment="1" applyProtection="1">
      <alignment horizontal="center" vertical="center"/>
      <protection hidden="1"/>
    </xf>
    <xf numFmtId="4" fontId="12" fillId="0" borderId="23" xfId="0" applyNumberFormat="1" applyFont="1" applyFill="1" applyBorder="1" applyAlignment="1" applyProtection="1">
      <alignment horizontal="center" vertical="center"/>
      <protection hidden="1"/>
    </xf>
    <xf numFmtId="4" fontId="12" fillId="0" borderId="36" xfId="0" applyNumberFormat="1" applyFont="1" applyFill="1" applyBorder="1" applyAlignment="1" applyProtection="1">
      <alignment horizontal="center" vertical="center"/>
      <protection hidden="1"/>
    </xf>
    <xf numFmtId="4" fontId="49" fillId="0" borderId="23" xfId="0" applyNumberFormat="1" applyFont="1" applyFill="1" applyBorder="1" applyAlignment="1" applyProtection="1">
      <alignment horizontal="center" vertical="center"/>
      <protection hidden="1"/>
    </xf>
    <xf numFmtId="4" fontId="12" fillId="27" borderId="34" xfId="0" applyNumberFormat="1" applyFont="1" applyFill="1" applyBorder="1" applyAlignment="1" applyProtection="1">
      <alignment horizontal="center" vertical="center"/>
      <protection hidden="1"/>
    </xf>
    <xf numFmtId="3" fontId="12" fillId="0" borderId="23" xfId="0" applyNumberFormat="1" applyFont="1" applyFill="1" applyBorder="1" applyAlignment="1" applyProtection="1">
      <alignment horizontal="center" vertical="center"/>
      <protection hidden="1"/>
    </xf>
    <xf numFmtId="4" fontId="105" fillId="27" borderId="23" xfId="0" applyNumberFormat="1" applyFont="1" applyFill="1" applyBorder="1" applyAlignment="1" applyProtection="1">
      <alignment horizontal="center" vertical="center"/>
      <protection hidden="1"/>
    </xf>
    <xf numFmtId="171" fontId="49" fillId="61" borderId="23" xfId="0" applyNumberFormat="1" applyFont="1" applyFill="1" applyBorder="1" applyAlignment="1" applyProtection="1">
      <alignment vertical="center"/>
      <protection hidden="1"/>
    </xf>
    <xf numFmtId="171" fontId="49" fillId="32" borderId="36" xfId="0" applyNumberFormat="1" applyFont="1" applyFill="1" applyBorder="1" applyAlignment="1" applyProtection="1">
      <alignment vertical="center"/>
      <protection hidden="1"/>
    </xf>
    <xf numFmtId="171" fontId="12" fillId="61" borderId="23" xfId="91" applyNumberFormat="1" applyFont="1" applyFill="1" applyBorder="1" applyAlignment="1" applyProtection="1">
      <alignment vertical="center"/>
      <protection hidden="1"/>
    </xf>
    <xf numFmtId="171" fontId="12" fillId="61" borderId="23" xfId="0" applyNumberFormat="1" applyFont="1" applyFill="1" applyBorder="1" applyAlignment="1" applyProtection="1">
      <alignment vertical="center"/>
      <protection hidden="1"/>
    </xf>
    <xf numFmtId="171" fontId="49" fillId="27" borderId="62" xfId="0" applyNumberFormat="1" applyFont="1" applyFill="1" applyBorder="1" applyAlignment="1" applyProtection="1">
      <alignment vertical="center"/>
      <protection hidden="1"/>
    </xf>
    <xf numFmtId="171" fontId="49" fillId="27" borderId="23" xfId="0" applyNumberFormat="1" applyFont="1" applyFill="1" applyBorder="1" applyAlignment="1" applyProtection="1">
      <alignment vertical="center"/>
      <protection hidden="1"/>
    </xf>
    <xf numFmtId="4" fontId="12" fillId="61" borderId="23" xfId="91" applyNumberFormat="1" applyFont="1" applyFill="1" applyBorder="1" applyAlignment="1" applyProtection="1">
      <alignment vertical="center"/>
      <protection hidden="1"/>
    </xf>
    <xf numFmtId="171" fontId="49" fillId="61" borderId="31" xfId="0" applyNumberFormat="1" applyFont="1" applyFill="1" applyBorder="1" applyAlignment="1" applyProtection="1">
      <alignment vertical="center"/>
      <protection hidden="1"/>
    </xf>
    <xf numFmtId="0" fontId="106" fillId="0" borderId="0" xfId="113" applyFont="1" applyAlignment="1" applyProtection="1">
      <alignment horizontal="center"/>
      <protection hidden="1"/>
    </xf>
    <xf numFmtId="0" fontId="31" fillId="0" borderId="21" xfId="0" applyFont="1" applyBorder="1" applyAlignment="1" applyProtection="1">
      <alignment horizontal="center" vertical="center"/>
      <protection locked="0"/>
    </xf>
    <xf numFmtId="4" fontId="1" fillId="0" borderId="21" xfId="0" applyNumberFormat="1" applyFont="1" applyFill="1" applyBorder="1" applyAlignment="1" applyProtection="1">
      <alignment/>
      <protection hidden="1"/>
    </xf>
    <xf numFmtId="49" fontId="12" fillId="51" borderId="0" xfId="57" applyNumberFormat="1" applyFont="1" applyFill="1" applyBorder="1" applyAlignment="1" applyProtection="1">
      <alignment vertical="center"/>
      <protection hidden="1"/>
    </xf>
    <xf numFmtId="0" fontId="0" fillId="51" borderId="0" xfId="0" applyFont="1" applyFill="1" applyAlignment="1" applyProtection="1">
      <alignment vertical="center"/>
      <protection hidden="1"/>
    </xf>
    <xf numFmtId="0" fontId="0" fillId="31" borderId="0" xfId="0" applyFont="1" applyFill="1" applyAlignment="1" applyProtection="1">
      <alignment/>
      <protection hidden="1"/>
    </xf>
    <xf numFmtId="263" fontId="7" fillId="0" borderId="34" xfId="0" applyNumberFormat="1" applyFont="1" applyFill="1" applyBorder="1" applyAlignment="1" applyProtection="1">
      <alignment horizontal="center" vertical="center"/>
      <protection hidden="1"/>
    </xf>
    <xf numFmtId="262" fontId="7" fillId="0" borderId="34" xfId="0" applyNumberFormat="1" applyFont="1" applyFill="1" applyBorder="1" applyAlignment="1" applyProtection="1">
      <alignment horizontal="center" vertical="center"/>
      <protection hidden="1"/>
    </xf>
    <xf numFmtId="262" fontId="7" fillId="0" borderId="23" xfId="0" applyNumberFormat="1" applyFont="1" applyFill="1" applyBorder="1" applyAlignment="1" applyProtection="1">
      <alignment horizontal="center" vertical="center"/>
      <protection hidden="1"/>
    </xf>
    <xf numFmtId="261" fontId="7" fillId="0" borderId="23" xfId="0" applyNumberFormat="1" applyFont="1" applyFill="1" applyBorder="1" applyAlignment="1" applyProtection="1">
      <alignment horizontal="center" vertical="center"/>
      <protection hidden="1"/>
    </xf>
    <xf numFmtId="204" fontId="87" fillId="0" borderId="23" xfId="0" applyNumberFormat="1" applyFont="1" applyFill="1" applyBorder="1" applyAlignment="1" applyProtection="1">
      <alignment horizontal="center" vertical="center"/>
      <protection hidden="1"/>
    </xf>
    <xf numFmtId="203" fontId="87" fillId="0" borderId="37" xfId="0" applyNumberFormat="1" applyFont="1" applyFill="1" applyBorder="1" applyAlignment="1" applyProtection="1">
      <alignment horizontal="center" vertical="center"/>
      <protection hidden="1"/>
    </xf>
    <xf numFmtId="229" fontId="7" fillId="0" borderId="23" xfId="0" applyNumberFormat="1" applyFont="1" applyFill="1" applyBorder="1" applyAlignment="1" applyProtection="1">
      <alignment horizontal="center" vertical="center"/>
      <protection hidden="1"/>
    </xf>
    <xf numFmtId="229" fontId="7" fillId="51" borderId="32" xfId="0" applyNumberFormat="1" applyFont="1" applyFill="1" applyBorder="1" applyAlignment="1" applyProtection="1">
      <alignment horizontal="center" vertical="center"/>
      <protection locked="0"/>
    </xf>
    <xf numFmtId="49" fontId="12" fillId="31" borderId="0" xfId="57" applyNumberFormat="1" applyFont="1" applyFill="1" applyBorder="1" applyAlignment="1" applyProtection="1">
      <alignment vertical="center"/>
      <protection hidden="1"/>
    </xf>
    <xf numFmtId="3" fontId="12" fillId="0" borderId="31" xfId="56" applyNumberFormat="1" applyFont="1" applyFill="1" applyBorder="1" applyAlignment="1" applyProtection="1">
      <alignment vertical="center"/>
      <protection hidden="1"/>
    </xf>
    <xf numFmtId="0" fontId="7" fillId="0" borderId="37" xfId="114" applyFont="1" applyFill="1" applyBorder="1" applyAlignment="1" applyProtection="1">
      <alignment vertical="center"/>
      <protection hidden="1"/>
    </xf>
    <xf numFmtId="0" fontId="7" fillId="51" borderId="0" xfId="114" applyFont="1" applyFill="1" applyBorder="1" applyAlignment="1" applyProtection="1">
      <alignment vertical="center"/>
      <protection hidden="1"/>
    </xf>
    <xf numFmtId="0" fontId="7" fillId="51" borderId="0" xfId="0" applyFont="1" applyFill="1" applyAlignment="1" applyProtection="1">
      <alignment vertical="center"/>
      <protection hidden="1"/>
    </xf>
    <xf numFmtId="174" fontId="12" fillId="0" borderId="23" xfId="56" applyNumberFormat="1" applyFont="1" applyFill="1" applyBorder="1" applyAlignment="1" applyProtection="1">
      <alignment vertical="center"/>
      <protection hidden="1"/>
    </xf>
    <xf numFmtId="0" fontId="7" fillId="0" borderId="0" xfId="0" applyFont="1" applyAlignment="1" applyProtection="1">
      <alignment vertical="center"/>
      <protection hidden="1"/>
    </xf>
    <xf numFmtId="0" fontId="7" fillId="0" borderId="37" xfId="0" applyFont="1" applyBorder="1" applyAlignment="1" applyProtection="1">
      <alignment vertical="center"/>
      <protection hidden="1"/>
    </xf>
    <xf numFmtId="258" fontId="12" fillId="0" borderId="31" xfId="56" applyNumberFormat="1" applyFont="1" applyFill="1" applyBorder="1" applyAlignment="1" applyProtection="1">
      <alignment vertical="center"/>
      <protection hidden="1"/>
    </xf>
    <xf numFmtId="197" fontId="12" fillId="0" borderId="23" xfId="57" applyNumberFormat="1" applyFont="1" applyFill="1" applyBorder="1" applyAlignment="1" applyProtection="1">
      <alignment vertical="center"/>
      <protection hidden="1"/>
    </xf>
    <xf numFmtId="4" fontId="12" fillId="0" borderId="31" xfId="56" applyNumberFormat="1" applyFont="1" applyFill="1" applyBorder="1" applyAlignment="1" applyProtection="1">
      <alignment vertical="center"/>
      <protection hidden="1"/>
    </xf>
    <xf numFmtId="9" fontId="12" fillId="0" borderId="31" xfId="105" applyFont="1" applyFill="1" applyBorder="1" applyAlignment="1" applyProtection="1">
      <alignment vertical="center"/>
      <protection hidden="1"/>
    </xf>
    <xf numFmtId="0" fontId="7" fillId="51" borderId="0" xfId="114" applyFont="1" applyFill="1" applyBorder="1" applyAlignment="1" applyProtection="1">
      <alignment horizontal="left" vertical="center" indent="1"/>
      <protection hidden="1"/>
    </xf>
    <xf numFmtId="217" fontId="12" fillId="0" borderId="31" xfId="57" applyNumberFormat="1" applyFont="1" applyFill="1" applyBorder="1" applyAlignment="1" applyProtection="1">
      <alignment vertical="center"/>
      <protection hidden="1"/>
    </xf>
    <xf numFmtId="4" fontId="7" fillId="0" borderId="37" xfId="57" applyFont="1" applyFill="1" applyBorder="1" applyAlignment="1" applyProtection="1">
      <alignment vertical="center"/>
      <protection hidden="1"/>
    </xf>
    <xf numFmtId="168" fontId="12" fillId="0" borderId="31" xfId="56" applyNumberFormat="1" applyFont="1" applyFill="1" applyBorder="1" applyAlignment="1" applyProtection="1">
      <alignment vertical="center"/>
      <protection hidden="1"/>
    </xf>
    <xf numFmtId="174" fontId="12" fillId="0" borderId="23" xfId="57" applyNumberFormat="1" applyFont="1" applyFill="1" applyBorder="1" applyAlignment="1" applyProtection="1">
      <alignment vertical="center"/>
      <protection hidden="1"/>
    </xf>
    <xf numFmtId="4" fontId="12" fillId="0" borderId="31" xfId="56" applyFont="1" applyFill="1" applyBorder="1" applyAlignment="1" applyProtection="1">
      <alignment vertical="center"/>
      <protection hidden="1"/>
    </xf>
    <xf numFmtId="174" fontId="12" fillId="0" borderId="31" xfId="56" applyNumberFormat="1" applyFont="1" applyFill="1" applyBorder="1" applyAlignment="1" applyProtection="1">
      <alignment vertical="center"/>
      <protection hidden="1"/>
    </xf>
    <xf numFmtId="4" fontId="12" fillId="0" borderId="31" xfId="57" applyNumberFormat="1" applyFont="1" applyFill="1" applyBorder="1" applyAlignment="1" applyProtection="1">
      <alignment vertical="center"/>
      <protection hidden="1"/>
    </xf>
    <xf numFmtId="38" fontId="7" fillId="0" borderId="37" xfId="57" applyNumberFormat="1" applyFont="1" applyFill="1" applyBorder="1" applyAlignment="1" applyProtection="1">
      <alignment horizontal="left" vertical="center"/>
      <protection hidden="1"/>
    </xf>
    <xf numFmtId="174" fontId="12" fillId="0" borderId="0" xfId="56" applyNumberFormat="1" applyFont="1" applyFill="1" applyBorder="1" applyAlignment="1" applyProtection="1">
      <alignment vertical="center"/>
      <protection hidden="1"/>
    </xf>
    <xf numFmtId="0" fontId="12" fillId="31" borderId="0" xfId="114" applyFont="1" applyFill="1" applyBorder="1" applyAlignment="1" applyProtection="1">
      <alignment vertical="center"/>
      <protection hidden="1"/>
    </xf>
    <xf numFmtId="0" fontId="7" fillId="31" borderId="0" xfId="114" applyFont="1" applyFill="1" applyBorder="1" applyAlignment="1" applyProtection="1">
      <alignment vertical="center"/>
      <protection hidden="1"/>
    </xf>
    <xf numFmtId="0" fontId="7" fillId="31" borderId="0" xfId="114" applyFont="1" applyFill="1" applyBorder="1" applyAlignment="1" applyProtection="1">
      <alignment horizontal="center" vertical="center"/>
      <protection hidden="1"/>
    </xf>
    <xf numFmtId="0" fontId="12" fillId="31" borderId="0" xfId="114" applyFont="1" applyFill="1" applyBorder="1" applyAlignment="1" applyProtection="1">
      <alignment horizontal="centerContinuous" vertical="center"/>
      <protection hidden="1"/>
    </xf>
    <xf numFmtId="264" fontId="7" fillId="0" borderId="31" xfId="57" applyNumberFormat="1" applyFont="1" applyFill="1" applyBorder="1" applyAlignment="1" applyProtection="1">
      <alignment vertical="center"/>
      <protection hidden="1"/>
    </xf>
    <xf numFmtId="167" fontId="12" fillId="0" borderId="31" xfId="0" applyNumberFormat="1" applyFont="1" applyFill="1" applyBorder="1" applyAlignment="1" applyProtection="1">
      <alignment vertical="center"/>
      <protection hidden="1"/>
    </xf>
    <xf numFmtId="0" fontId="7" fillId="0" borderId="0" xfId="114" applyFont="1" applyFill="1" applyBorder="1" applyAlignment="1" applyProtection="1">
      <alignment vertical="center"/>
      <protection hidden="1"/>
    </xf>
    <xf numFmtId="0" fontId="7" fillId="0" borderId="0" xfId="114" applyFont="1" applyFill="1" applyBorder="1" applyAlignment="1" applyProtection="1" quotePrefix="1">
      <alignment vertical="center"/>
      <protection hidden="1"/>
    </xf>
    <xf numFmtId="0" fontId="7" fillId="31" borderId="0" xfId="0" applyFont="1" applyFill="1" applyAlignment="1" applyProtection="1">
      <alignment vertical="center"/>
      <protection hidden="1"/>
    </xf>
    <xf numFmtId="0" fontId="108" fillId="31" borderId="0" xfId="114" applyFont="1" applyFill="1" applyBorder="1" applyAlignment="1" applyProtection="1">
      <alignment vertical="center"/>
      <protection hidden="1"/>
    </xf>
    <xf numFmtId="0" fontId="7" fillId="31" borderId="0" xfId="114" applyFont="1" applyFill="1" applyBorder="1" applyAlignment="1" applyProtection="1">
      <alignment horizontal="centerContinuous" vertical="center"/>
      <protection hidden="1"/>
    </xf>
    <xf numFmtId="260" fontId="12" fillId="31" borderId="0" xfId="114" applyNumberFormat="1" applyFont="1" applyFill="1" applyBorder="1" applyAlignment="1" applyProtection="1" quotePrefix="1">
      <alignment horizontal="center" vertical="center"/>
      <protection hidden="1"/>
    </xf>
    <xf numFmtId="4" fontId="7" fillId="51" borderId="0" xfId="56" applyFont="1" applyFill="1" applyBorder="1" applyAlignment="1" applyProtection="1">
      <alignment vertical="center"/>
      <protection hidden="1"/>
    </xf>
    <xf numFmtId="4" fontId="7" fillId="51" borderId="0" xfId="56" applyFont="1" applyFill="1" applyBorder="1" applyAlignment="1" applyProtection="1">
      <alignment horizontal="centerContinuous" vertical="center"/>
      <protection hidden="1"/>
    </xf>
    <xf numFmtId="4" fontId="7" fillId="0" borderId="31" xfId="56" applyNumberFormat="1" applyFont="1" applyFill="1" applyBorder="1" applyAlignment="1" applyProtection="1">
      <alignment horizontal="center" vertical="center"/>
      <protection hidden="1"/>
    </xf>
    <xf numFmtId="4" fontId="7" fillId="0" borderId="23" xfId="56" applyNumberFormat="1" applyFont="1" applyFill="1" applyBorder="1" applyAlignment="1" applyProtection="1">
      <alignment horizontal="center" vertical="center"/>
      <protection hidden="1"/>
    </xf>
    <xf numFmtId="4" fontId="12" fillId="51" borderId="0" xfId="56" applyFont="1" applyFill="1" applyBorder="1" applyAlignment="1" applyProtection="1">
      <alignment vertical="center"/>
      <protection hidden="1"/>
    </xf>
    <xf numFmtId="4" fontId="12" fillId="51" borderId="0" xfId="56" applyFont="1" applyFill="1" applyBorder="1" applyAlignment="1" applyProtection="1">
      <alignment horizontal="centerContinuous" vertical="center"/>
      <protection hidden="1"/>
    </xf>
    <xf numFmtId="4" fontId="12" fillId="0" borderId="31" xfId="56" applyNumberFormat="1" applyFont="1" applyFill="1" applyBorder="1" applyAlignment="1" applyProtection="1">
      <alignment horizontal="center" vertical="center"/>
      <protection hidden="1"/>
    </xf>
    <xf numFmtId="4" fontId="12" fillId="0" borderId="23" xfId="56" applyNumberFormat="1" applyFont="1" applyFill="1" applyBorder="1" applyAlignment="1" applyProtection="1">
      <alignment horizontal="center" vertical="center"/>
      <protection hidden="1"/>
    </xf>
    <xf numFmtId="167" fontId="7" fillId="51" borderId="0" xfId="114" applyNumberFormat="1" applyFont="1" applyFill="1" applyBorder="1" applyAlignment="1" applyProtection="1">
      <alignment vertical="center"/>
      <protection hidden="1"/>
    </xf>
    <xf numFmtId="167" fontId="7" fillId="51" borderId="0" xfId="114" applyNumberFormat="1" applyFont="1" applyFill="1" applyBorder="1" applyAlignment="1" applyProtection="1">
      <alignment horizontal="centerContinuous" vertical="center"/>
      <protection hidden="1"/>
    </xf>
    <xf numFmtId="3" fontId="7" fillId="0" borderId="31" xfId="56" applyNumberFormat="1" applyFont="1" applyFill="1" applyBorder="1" applyAlignment="1" applyProtection="1">
      <alignment horizontal="center" vertical="center"/>
      <protection hidden="1"/>
    </xf>
    <xf numFmtId="3" fontId="7" fillId="0" borderId="23" xfId="56" applyNumberFormat="1" applyFont="1" applyFill="1" applyBorder="1" applyAlignment="1" applyProtection="1">
      <alignment horizontal="center" vertical="center"/>
      <protection hidden="1"/>
    </xf>
    <xf numFmtId="3" fontId="7" fillId="51" borderId="0" xfId="56" applyNumberFormat="1" applyFont="1" applyFill="1" applyBorder="1" applyAlignment="1" applyProtection="1">
      <alignment vertical="center"/>
      <protection hidden="1"/>
    </xf>
    <xf numFmtId="3" fontId="7" fillId="51" borderId="0" xfId="56" applyNumberFormat="1" applyFont="1" applyFill="1" applyBorder="1" applyAlignment="1" applyProtection="1">
      <alignment horizontal="centerContinuous" vertical="center"/>
      <protection hidden="1"/>
    </xf>
    <xf numFmtId="1" fontId="7" fillId="51" borderId="0" xfId="114" applyNumberFormat="1" applyFont="1" applyFill="1" applyBorder="1" applyAlignment="1" applyProtection="1">
      <alignment horizontal="left" vertical="center" indent="1"/>
      <protection hidden="1"/>
    </xf>
    <xf numFmtId="1" fontId="7" fillId="51" borderId="0" xfId="114" applyNumberFormat="1" applyFont="1" applyFill="1" applyBorder="1" applyAlignment="1" applyProtection="1">
      <alignment horizontal="left" vertical="center"/>
      <protection hidden="1"/>
    </xf>
    <xf numFmtId="3" fontId="7" fillId="0" borderId="31" xfId="57" applyNumberFormat="1" applyFont="1" applyFill="1" applyBorder="1" applyAlignment="1" applyProtection="1">
      <alignment horizontal="center" vertical="center"/>
      <protection hidden="1"/>
    </xf>
    <xf numFmtId="3" fontId="7" fillId="0" borderId="23" xfId="57" applyNumberFormat="1" applyFont="1" applyFill="1" applyBorder="1" applyAlignment="1" applyProtection="1">
      <alignment horizontal="center" vertical="center"/>
      <protection hidden="1"/>
    </xf>
    <xf numFmtId="168" fontId="7" fillId="51" borderId="0" xfId="56" applyNumberFormat="1" applyFont="1" applyFill="1" applyBorder="1" applyAlignment="1" applyProtection="1">
      <alignment horizontal="left" vertical="center"/>
      <protection hidden="1"/>
    </xf>
    <xf numFmtId="168" fontId="7" fillId="51" borderId="0" xfId="56" applyNumberFormat="1" applyFont="1" applyFill="1" applyBorder="1" applyAlignment="1" applyProtection="1">
      <alignment horizontal="centerContinuous" vertical="center"/>
      <protection hidden="1"/>
    </xf>
    <xf numFmtId="168" fontId="7" fillId="0" borderId="31" xfId="56" applyNumberFormat="1" applyFont="1" applyFill="1" applyBorder="1" applyAlignment="1" applyProtection="1">
      <alignment horizontal="center" vertical="center"/>
      <protection hidden="1"/>
    </xf>
    <xf numFmtId="168" fontId="7" fillId="0" borderId="23" xfId="56" applyNumberFormat="1" applyFont="1" applyFill="1" applyBorder="1" applyAlignment="1" applyProtection="1">
      <alignment horizontal="center" vertical="center"/>
      <protection hidden="1"/>
    </xf>
    <xf numFmtId="3" fontId="49" fillId="27" borderId="0" xfId="0" applyNumberFormat="1" applyFont="1" applyFill="1" applyBorder="1" applyAlignment="1" applyProtection="1">
      <alignment/>
      <protection hidden="1"/>
    </xf>
    <xf numFmtId="4" fontId="49" fillId="62" borderId="32" xfId="0" applyNumberFormat="1" applyFont="1" applyFill="1" applyBorder="1" applyAlignment="1" applyProtection="1">
      <alignment vertical="center"/>
      <protection locked="0"/>
    </xf>
    <xf numFmtId="0" fontId="39" fillId="54" borderId="0" xfId="0" applyFont="1" applyFill="1" applyAlignment="1" applyProtection="1">
      <alignment/>
      <protection hidden="1"/>
    </xf>
    <xf numFmtId="0" fontId="46" fillId="54" borderId="0" xfId="0" applyFont="1" applyFill="1" applyAlignment="1" applyProtection="1">
      <alignment/>
      <protection hidden="1"/>
    </xf>
    <xf numFmtId="0" fontId="7" fillId="0" borderId="27"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33" xfId="0" applyFont="1" applyFill="1" applyBorder="1" applyAlignment="1" applyProtection="1">
      <alignment horizontal="center" vertical="center"/>
      <protection hidden="1"/>
    </xf>
    <xf numFmtId="175" fontId="7" fillId="0" borderId="33" xfId="0" applyNumberFormat="1" applyFont="1" applyFill="1" applyBorder="1" applyAlignment="1" applyProtection="1">
      <alignment horizontal="center" vertical="center"/>
      <protection hidden="1"/>
    </xf>
    <xf numFmtId="4" fontId="7" fillId="0" borderId="33" xfId="0" applyNumberFormat="1" applyFont="1" applyFill="1" applyBorder="1" applyAlignment="1" applyProtection="1">
      <alignment horizontal="center" vertical="center"/>
      <protection hidden="1"/>
    </xf>
    <xf numFmtId="175" fontId="7" fillId="0" borderId="27" xfId="0" applyNumberFormat="1" applyFont="1" applyFill="1" applyBorder="1" applyAlignment="1" applyProtection="1">
      <alignment horizontal="center" vertical="center"/>
      <protection hidden="1"/>
    </xf>
    <xf numFmtId="4" fontId="7" fillId="0" borderId="27" xfId="0" applyNumberFormat="1" applyFont="1" applyFill="1" applyBorder="1" applyAlignment="1" applyProtection="1">
      <alignment horizontal="center" vertical="center"/>
      <protection hidden="1"/>
    </xf>
    <xf numFmtId="4" fontId="7" fillId="0" borderId="31" xfId="0" applyNumberFormat="1" applyFont="1" applyFill="1" applyBorder="1" applyAlignment="1" applyProtection="1">
      <alignment horizontal="center" vertical="center"/>
      <protection hidden="1"/>
    </xf>
    <xf numFmtId="4" fontId="7" fillId="0" borderId="63" xfId="0" applyNumberFormat="1" applyFont="1" applyFill="1" applyBorder="1" applyAlignment="1" applyProtection="1">
      <alignment horizontal="center" vertical="center"/>
      <protection hidden="1"/>
    </xf>
    <xf numFmtId="4" fontId="7" fillId="0" borderId="49" xfId="0" applyNumberFormat="1" applyFont="1" applyFill="1" applyBorder="1" applyAlignment="1" applyProtection="1">
      <alignment horizontal="center" vertical="center"/>
      <protection hidden="1"/>
    </xf>
    <xf numFmtId="4" fontId="7" fillId="0" borderId="45" xfId="0" applyNumberFormat="1" applyFont="1" applyFill="1" applyBorder="1" applyAlignment="1" applyProtection="1">
      <alignment horizontal="center" vertical="center"/>
      <protection hidden="1"/>
    </xf>
    <xf numFmtId="195" fontId="7" fillId="0" borderId="31" xfId="0" applyNumberFormat="1" applyFont="1" applyFill="1" applyBorder="1" applyAlignment="1" applyProtection="1">
      <alignment horizontal="center" vertical="center"/>
      <protection hidden="1"/>
    </xf>
    <xf numFmtId="259" fontId="7" fillId="51" borderId="43" xfId="57" applyNumberFormat="1" applyFont="1" applyFill="1" applyBorder="1" applyAlignment="1" applyProtection="1">
      <alignment vertical="center"/>
      <protection hidden="1"/>
    </xf>
    <xf numFmtId="259" fontId="7" fillId="51" borderId="64" xfId="57" applyNumberFormat="1" applyFont="1" applyFill="1" applyBorder="1" applyAlignment="1" applyProtection="1">
      <alignment vertical="center"/>
      <protection hidden="1"/>
    </xf>
    <xf numFmtId="38" fontId="7" fillId="0" borderId="41" xfId="57" applyNumberFormat="1" applyFont="1" applyFill="1" applyBorder="1" applyAlignment="1" applyProtection="1">
      <alignment vertical="center"/>
      <protection hidden="1"/>
    </xf>
    <xf numFmtId="38" fontId="7" fillId="0" borderId="65" xfId="57" applyNumberFormat="1" applyFont="1" applyFill="1" applyBorder="1" applyAlignment="1" applyProtection="1">
      <alignment vertical="center"/>
      <protection hidden="1"/>
    </xf>
    <xf numFmtId="0" fontId="7" fillId="51" borderId="43" xfId="0" applyFont="1" applyFill="1" applyBorder="1" applyAlignment="1" applyProtection="1">
      <alignment horizontal="center" vertical="center"/>
      <protection hidden="1"/>
    </xf>
    <xf numFmtId="0" fontId="7" fillId="51" borderId="64" xfId="0" applyFont="1" applyFill="1" applyBorder="1" applyAlignment="1" applyProtection="1">
      <alignment horizontal="center" vertical="center"/>
      <protection hidden="1"/>
    </xf>
    <xf numFmtId="0" fontId="0" fillId="51" borderId="64" xfId="0" applyFont="1" applyFill="1" applyBorder="1" applyAlignment="1" applyProtection="1">
      <alignment/>
      <protection hidden="1"/>
    </xf>
    <xf numFmtId="3" fontId="7" fillId="38" borderId="32" xfId="0" applyNumberFormat="1" applyFont="1" applyFill="1" applyBorder="1" applyAlignment="1" applyProtection="1">
      <alignment vertical="center"/>
      <protection locked="0"/>
    </xf>
    <xf numFmtId="0" fontId="29" fillId="51" borderId="0" xfId="0" applyFont="1" applyFill="1" applyAlignment="1" applyProtection="1">
      <alignment horizontal="center"/>
      <protection hidden="1"/>
    </xf>
    <xf numFmtId="0" fontId="7" fillId="0" borderId="0" xfId="0" applyFont="1" applyAlignment="1" applyProtection="1">
      <alignment horizontal="center" vertical="center"/>
      <protection hidden="1"/>
    </xf>
    <xf numFmtId="4" fontId="41" fillId="67" borderId="0" xfId="0" applyNumberFormat="1" applyFont="1" applyFill="1" applyAlignment="1" applyProtection="1">
      <alignment/>
      <protection hidden="1"/>
    </xf>
    <xf numFmtId="0" fontId="146" fillId="68" borderId="0" xfId="0" applyFont="1" applyFill="1" applyAlignment="1" applyProtection="1">
      <alignment/>
      <protection hidden="1"/>
    </xf>
    <xf numFmtId="0" fontId="7" fillId="0" borderId="0" xfId="0" applyFont="1" applyAlignment="1" applyProtection="1">
      <alignment horizontal="left"/>
      <protection hidden="1"/>
    </xf>
    <xf numFmtId="0" fontId="7" fillId="0" borderId="0" xfId="0" applyFont="1" applyAlignment="1" applyProtection="1">
      <alignment horizontal="right"/>
      <protection hidden="1"/>
    </xf>
    <xf numFmtId="0" fontId="31" fillId="59" borderId="0" xfId="0" applyFont="1" applyFill="1" applyAlignment="1" applyProtection="1">
      <alignment vertical="center"/>
      <protection hidden="1"/>
    </xf>
    <xf numFmtId="179" fontId="0" fillId="34" borderId="0" xfId="0" applyNumberFormat="1" applyFill="1" applyAlignment="1" applyProtection="1">
      <alignment horizontal="left"/>
      <protection hidden="1"/>
    </xf>
    <xf numFmtId="181" fontId="46" fillId="0" borderId="0" xfId="113" applyNumberFormat="1" applyFont="1" applyFill="1" applyBorder="1" applyAlignment="1" applyProtection="1">
      <alignment horizontal="left" vertical="center"/>
      <protection hidden="1"/>
    </xf>
    <xf numFmtId="167" fontId="85" fillId="59" borderId="0" xfId="0" applyNumberFormat="1" applyFont="1" applyFill="1" applyAlignment="1" applyProtection="1">
      <alignment horizontal="left" wrapText="1"/>
      <protection hidden="1"/>
    </xf>
    <xf numFmtId="0" fontId="47" fillId="0" borderId="31" xfId="0" applyFont="1" applyBorder="1" applyAlignment="1" applyProtection="1">
      <alignment vertical="center"/>
      <protection locked="0"/>
    </xf>
    <xf numFmtId="0" fontId="47" fillId="0" borderId="37" xfId="0" applyFont="1" applyBorder="1" applyAlignment="1" applyProtection="1">
      <alignment vertical="center"/>
      <protection locked="0"/>
    </xf>
    <xf numFmtId="0" fontId="47" fillId="0" borderId="31" xfId="0" applyFont="1" applyFill="1" applyBorder="1" applyAlignment="1" applyProtection="1">
      <alignment vertical="center" wrapText="1"/>
      <protection locked="0"/>
    </xf>
    <xf numFmtId="0" fontId="47" fillId="0" borderId="33" xfId="0" applyFont="1" applyFill="1" applyBorder="1" applyAlignment="1" applyProtection="1">
      <alignment vertical="center" wrapText="1"/>
      <protection locked="0"/>
    </xf>
    <xf numFmtId="0" fontId="47" fillId="0" borderId="37" xfId="0" applyFont="1" applyFill="1" applyBorder="1" applyAlignment="1" applyProtection="1">
      <alignment vertical="center" wrapText="1"/>
      <protection locked="0"/>
    </xf>
    <xf numFmtId="256" fontId="47" fillId="0" borderId="31" xfId="0" applyNumberFormat="1" applyFont="1" applyFill="1" applyBorder="1" applyAlignment="1" applyProtection="1">
      <alignment vertical="center" wrapText="1"/>
      <protection locked="0"/>
    </xf>
    <xf numFmtId="256" fontId="47" fillId="0" borderId="37" xfId="0" applyNumberFormat="1" applyFont="1" applyFill="1" applyBorder="1" applyAlignment="1" applyProtection="1">
      <alignment vertical="center" wrapText="1"/>
      <protection locked="0"/>
    </xf>
    <xf numFmtId="0" fontId="47" fillId="0" borderId="31" xfId="0" applyNumberFormat="1" applyFont="1" applyFill="1" applyBorder="1" applyAlignment="1" applyProtection="1">
      <alignment vertical="center" wrapText="1"/>
      <protection locked="0"/>
    </xf>
    <xf numFmtId="0" fontId="47" fillId="0" borderId="37" xfId="0" applyNumberFormat="1" applyFont="1" applyFill="1" applyBorder="1" applyAlignment="1" applyProtection="1">
      <alignment vertical="center" wrapText="1"/>
      <protection locked="0"/>
    </xf>
    <xf numFmtId="3" fontId="47" fillId="0" borderId="31" xfId="0" applyNumberFormat="1" applyFont="1" applyFill="1" applyBorder="1" applyAlignment="1" applyProtection="1">
      <alignment vertical="center" wrapText="1"/>
      <protection locked="0"/>
    </xf>
    <xf numFmtId="3" fontId="47" fillId="0" borderId="37" xfId="0" applyNumberFormat="1" applyFont="1" applyFill="1" applyBorder="1" applyAlignment="1" applyProtection="1">
      <alignment vertical="center" wrapText="1"/>
      <protection locked="0"/>
    </xf>
    <xf numFmtId="4" fontId="47" fillId="0" borderId="31" xfId="0" applyNumberFormat="1" applyFont="1" applyFill="1" applyBorder="1" applyAlignment="1" applyProtection="1">
      <alignment vertical="center" wrapText="1"/>
      <protection locked="0"/>
    </xf>
    <xf numFmtId="4" fontId="47" fillId="0" borderId="37" xfId="0" applyNumberFormat="1" applyFont="1" applyFill="1" applyBorder="1" applyAlignment="1" applyProtection="1">
      <alignment vertical="center" wrapText="1"/>
      <protection locked="0"/>
    </xf>
    <xf numFmtId="0" fontId="47" fillId="0" borderId="27" xfId="0" applyFont="1" applyFill="1" applyBorder="1" applyAlignment="1" applyProtection="1">
      <alignment/>
      <protection locked="0"/>
    </xf>
    <xf numFmtId="0" fontId="7" fillId="0" borderId="0" xfId="0" applyFont="1" applyAlignment="1" applyProtection="1">
      <alignment horizontal="left" vertical="top" wrapText="1" indent="1"/>
      <protection hidden="1"/>
    </xf>
    <xf numFmtId="0" fontId="42" fillId="51" borderId="31" xfId="0" applyFont="1" applyFill="1" applyBorder="1" applyAlignment="1" applyProtection="1">
      <alignment horizontal="justify" vertical="center" wrapText="1"/>
      <protection locked="0"/>
    </xf>
    <xf numFmtId="0" fontId="42" fillId="51" borderId="33" xfId="0" applyFont="1" applyFill="1" applyBorder="1" applyAlignment="1" applyProtection="1">
      <alignment horizontal="justify" vertical="center" wrapText="1"/>
      <protection locked="0"/>
    </xf>
    <xf numFmtId="0" fontId="42" fillId="51" borderId="37" xfId="0" applyFont="1" applyFill="1" applyBorder="1" applyAlignment="1" applyProtection="1">
      <alignment horizontal="justify" vertical="center" wrapText="1"/>
      <protection locked="0"/>
    </xf>
    <xf numFmtId="0" fontId="7" fillId="0" borderId="0" xfId="0" applyFont="1" applyAlignment="1" applyProtection="1">
      <alignment vertical="top" wrapText="1"/>
      <protection hidden="1"/>
    </xf>
    <xf numFmtId="0" fontId="42" fillId="51" borderId="31" xfId="0" applyFont="1" applyFill="1" applyBorder="1" applyAlignment="1" applyProtection="1">
      <alignment horizontal="justify" vertical="top" wrapText="1"/>
      <protection locked="0"/>
    </xf>
    <xf numFmtId="0" fontId="42" fillId="51" borderId="33" xfId="0" applyFont="1" applyFill="1" applyBorder="1" applyAlignment="1" applyProtection="1">
      <alignment horizontal="justify" vertical="top" wrapText="1"/>
      <protection locked="0"/>
    </xf>
    <xf numFmtId="0" fontId="42" fillId="51" borderId="37" xfId="0" applyFont="1" applyFill="1" applyBorder="1" applyAlignment="1" applyProtection="1">
      <alignment horizontal="justify" vertical="top" wrapText="1"/>
      <protection locked="0"/>
    </xf>
    <xf numFmtId="0" fontId="40" fillId="60" borderId="0" xfId="0" applyFont="1" applyFill="1" applyBorder="1" applyAlignment="1" applyProtection="1">
      <alignment horizontal="center" vertical="center" wrapText="1"/>
      <protection hidden="1"/>
    </xf>
    <xf numFmtId="0" fontId="40" fillId="60" borderId="0" xfId="0" applyFont="1" applyFill="1" applyBorder="1" applyAlignment="1" applyProtection="1">
      <alignment horizontal="center" vertical="center"/>
      <protection hidden="1"/>
    </xf>
    <xf numFmtId="0" fontId="91" fillId="64" borderId="0" xfId="0" applyFont="1" applyFill="1" applyAlignment="1" applyProtection="1">
      <alignment horizontal="center" wrapText="1"/>
      <protection hidden="1"/>
    </xf>
    <xf numFmtId="0" fontId="11" fillId="51" borderId="31" xfId="0" applyFont="1" applyFill="1" applyBorder="1" applyAlignment="1" applyProtection="1">
      <alignment horizontal="justify" vertical="center" wrapText="1"/>
      <protection locked="0"/>
    </xf>
    <xf numFmtId="0" fontId="11" fillId="51" borderId="33" xfId="0" applyFont="1" applyFill="1" applyBorder="1" applyAlignment="1" applyProtection="1">
      <alignment horizontal="justify" vertical="center" wrapText="1"/>
      <protection locked="0"/>
    </xf>
    <xf numFmtId="0" fontId="11" fillId="51" borderId="37" xfId="0" applyFont="1" applyFill="1" applyBorder="1" applyAlignment="1" applyProtection="1">
      <alignment horizontal="justify" vertical="center" wrapText="1"/>
      <protection locked="0"/>
    </xf>
    <xf numFmtId="0" fontId="99" fillId="67" borderId="0" xfId="0" applyFont="1" applyFill="1" applyAlignment="1" applyProtection="1">
      <alignment horizontal="justify" vertical="top"/>
      <protection hidden="1"/>
    </xf>
    <xf numFmtId="0" fontId="98" fillId="67" borderId="0" xfId="0" applyFont="1" applyFill="1" applyAlignment="1" applyProtection="1">
      <alignment horizontal="justify" vertical="top"/>
      <protection hidden="1"/>
    </xf>
    <xf numFmtId="0" fontId="7" fillId="0" borderId="0" xfId="0" applyFont="1" applyBorder="1" applyAlignment="1" applyProtection="1">
      <alignment horizontal="left" vertical="top" wrapText="1" indent="1"/>
      <protection hidden="1"/>
    </xf>
    <xf numFmtId="0" fontId="19" fillId="54" borderId="0" xfId="0" applyFont="1" applyFill="1" applyBorder="1" applyAlignment="1" applyProtection="1">
      <alignment vertical="center" wrapText="1"/>
      <protection hidden="1"/>
    </xf>
    <xf numFmtId="3" fontId="12" fillId="27" borderId="0" xfId="0" applyNumberFormat="1" applyFont="1" applyFill="1" applyBorder="1" applyAlignment="1" applyProtection="1">
      <alignment vertical="center" wrapText="1"/>
      <protection hidden="1"/>
    </xf>
    <xf numFmtId="171" fontId="12" fillId="27" borderId="31" xfId="0" applyNumberFormat="1" applyFont="1" applyFill="1" applyBorder="1" applyAlignment="1" applyProtection="1">
      <alignment horizontal="center" vertical="center"/>
      <protection hidden="1"/>
    </xf>
    <xf numFmtId="171" fontId="12" fillId="27" borderId="37" xfId="0" applyNumberFormat="1" applyFont="1" applyFill="1" applyBorder="1" applyAlignment="1" applyProtection="1">
      <alignment horizontal="center" vertical="center"/>
      <protection hidden="1"/>
    </xf>
    <xf numFmtId="3" fontId="12" fillId="31" borderId="0" xfId="0" applyNumberFormat="1" applyFont="1" applyFill="1" applyBorder="1" applyAlignment="1" applyProtection="1">
      <alignment vertical="center"/>
      <protection hidden="1"/>
    </xf>
    <xf numFmtId="0" fontId="89" fillId="54" borderId="0" xfId="0" applyFont="1" applyFill="1" applyBorder="1" applyAlignment="1" applyProtection="1">
      <alignment horizontal="center" vertical="center" wrapText="1"/>
      <protection hidden="1"/>
    </xf>
    <xf numFmtId="0" fontId="12" fillId="31" borderId="0" xfId="0" applyFont="1" applyFill="1" applyBorder="1" applyAlignment="1" applyProtection="1">
      <alignment horizontal="left" vertical="center" wrapText="1"/>
      <protection hidden="1"/>
    </xf>
    <xf numFmtId="0" fontId="12" fillId="31" borderId="0" xfId="0" applyFont="1" applyFill="1" applyBorder="1" applyAlignment="1" applyProtection="1">
      <alignment horizontal="center" vertical="center" wrapText="1"/>
      <protection hidden="1"/>
    </xf>
    <xf numFmtId="0" fontId="12" fillId="31" borderId="0" xfId="0" applyFont="1" applyFill="1" applyBorder="1" applyAlignment="1" applyProtection="1">
      <alignment horizontal="center" vertical="center"/>
      <protection hidden="1"/>
    </xf>
    <xf numFmtId="168" fontId="7" fillId="50" borderId="53" xfId="0" applyNumberFormat="1" applyFont="1" applyFill="1" applyBorder="1" applyAlignment="1" applyProtection="1">
      <alignment horizontal="center" vertical="center"/>
      <protection locked="0"/>
    </xf>
    <xf numFmtId="0" fontId="7" fillId="50" borderId="8" xfId="0" applyFont="1" applyFill="1" applyBorder="1" applyAlignment="1" applyProtection="1">
      <alignment horizontal="center" vertical="center"/>
      <protection locked="0"/>
    </xf>
    <xf numFmtId="0" fontId="7" fillId="50" borderId="15" xfId="0" applyFont="1" applyFill="1" applyBorder="1" applyAlignment="1" applyProtection="1">
      <alignment horizontal="center" vertical="center"/>
      <protection locked="0"/>
    </xf>
    <xf numFmtId="0" fontId="12" fillId="32" borderId="0" xfId="0" applyFont="1" applyFill="1" applyBorder="1" applyAlignment="1" applyProtection="1">
      <alignment horizontal="left" vertical="center"/>
      <protection hidden="1"/>
    </xf>
    <xf numFmtId="3" fontId="12" fillId="51" borderId="0" xfId="0" applyNumberFormat="1" applyFont="1" applyFill="1" applyBorder="1" applyAlignment="1" applyProtection="1">
      <alignment horizontal="center" vertical="center" wrapText="1"/>
      <protection hidden="1"/>
    </xf>
    <xf numFmtId="3" fontId="7" fillId="50" borderId="53" xfId="0" applyNumberFormat="1" applyFont="1" applyFill="1" applyBorder="1" applyAlignment="1" applyProtection="1">
      <alignment horizontal="center" vertical="center"/>
      <protection locked="0"/>
    </xf>
    <xf numFmtId="3" fontId="7" fillId="50" borderId="8" xfId="0" applyNumberFormat="1" applyFont="1" applyFill="1" applyBorder="1" applyAlignment="1" applyProtection="1">
      <alignment horizontal="center" vertical="center"/>
      <protection locked="0"/>
    </xf>
    <xf numFmtId="3" fontId="7" fillId="50" borderId="15" xfId="0" applyNumberFormat="1" applyFont="1" applyFill="1" applyBorder="1" applyAlignment="1" applyProtection="1">
      <alignment horizontal="center" vertical="center"/>
      <protection locked="0"/>
    </xf>
    <xf numFmtId="171" fontId="7" fillId="0" borderId="34" xfId="0" applyNumberFormat="1" applyFont="1" applyFill="1" applyBorder="1" applyAlignment="1" applyProtection="1">
      <alignment vertical="center"/>
      <protection hidden="1"/>
    </xf>
    <xf numFmtId="171" fontId="7" fillId="0" borderId="36" xfId="0" applyNumberFormat="1" applyFont="1" applyFill="1" applyBorder="1" applyAlignment="1" applyProtection="1">
      <alignment vertical="center"/>
      <protection hidden="1"/>
    </xf>
    <xf numFmtId="3" fontId="7" fillId="51" borderId="65" xfId="0" applyNumberFormat="1" applyFont="1" applyFill="1" applyBorder="1" applyAlignment="1" applyProtection="1">
      <alignment vertical="center" wrapText="1"/>
      <protection hidden="1"/>
    </xf>
    <xf numFmtId="3" fontId="7" fillId="51" borderId="0" xfId="0" applyNumberFormat="1" applyFont="1" applyFill="1" applyBorder="1" applyAlignment="1" applyProtection="1">
      <alignment vertical="center" wrapText="1"/>
      <protection hidden="1"/>
    </xf>
    <xf numFmtId="3" fontId="7" fillId="51" borderId="64" xfId="0" applyNumberFormat="1" applyFont="1" applyFill="1" applyBorder="1" applyAlignment="1" applyProtection="1">
      <alignment vertical="center" wrapText="1"/>
      <protection hidden="1"/>
    </xf>
    <xf numFmtId="0" fontId="87" fillId="27" borderId="0" xfId="0" applyFont="1" applyFill="1" applyBorder="1" applyAlignment="1" applyProtection="1">
      <alignment horizontal="left" vertical="center" wrapText="1"/>
      <protection hidden="1"/>
    </xf>
    <xf numFmtId="0" fontId="87" fillId="27" borderId="51" xfId="0" applyFont="1" applyFill="1" applyBorder="1" applyAlignment="1" applyProtection="1">
      <alignment horizontal="left" vertical="center" wrapText="1"/>
      <protection hidden="1"/>
    </xf>
    <xf numFmtId="0" fontId="88" fillId="27" borderId="0" xfId="0" applyFont="1" applyFill="1" applyBorder="1" applyAlignment="1" applyProtection="1">
      <alignment horizontal="left" vertical="center" wrapText="1"/>
      <protection hidden="1"/>
    </xf>
    <xf numFmtId="3" fontId="7" fillId="38" borderId="53" xfId="0" applyNumberFormat="1" applyFont="1" applyFill="1" applyBorder="1" applyAlignment="1" applyProtection="1">
      <alignment horizontal="center" vertical="center"/>
      <protection locked="0"/>
    </xf>
    <xf numFmtId="3" fontId="7" fillId="38" borderId="8" xfId="0" applyNumberFormat="1" applyFont="1" applyFill="1" applyBorder="1" applyAlignment="1" applyProtection="1">
      <alignment horizontal="center" vertical="center"/>
      <protection locked="0"/>
    </xf>
    <xf numFmtId="3" fontId="7" fillId="38" borderId="15" xfId="0" applyNumberFormat="1" applyFont="1" applyFill="1" applyBorder="1" applyAlignment="1" applyProtection="1">
      <alignment horizontal="center" vertical="center"/>
      <protection locked="0"/>
    </xf>
    <xf numFmtId="168" fontId="7" fillId="38" borderId="53" xfId="0" applyNumberFormat="1" applyFont="1" applyFill="1" applyBorder="1" applyAlignment="1" applyProtection="1">
      <alignment horizontal="center" vertical="center"/>
      <protection locked="0"/>
    </xf>
    <xf numFmtId="0" fontId="7" fillId="38" borderId="8" xfId="0" applyFont="1" applyFill="1" applyBorder="1" applyAlignment="1" applyProtection="1">
      <alignment horizontal="center" vertical="center"/>
      <protection locked="0"/>
    </xf>
    <xf numFmtId="0" fontId="7" fillId="38" borderId="15" xfId="0" applyFont="1" applyFill="1" applyBorder="1" applyAlignment="1" applyProtection="1">
      <alignment horizontal="center" vertical="center"/>
      <protection locked="0"/>
    </xf>
    <xf numFmtId="0" fontId="48" fillId="54" borderId="0" xfId="0" applyFont="1" applyFill="1" applyBorder="1" applyAlignment="1" applyProtection="1">
      <alignment horizontal="center" vertical="center" wrapText="1"/>
      <protection hidden="1"/>
    </xf>
    <xf numFmtId="3" fontId="7" fillId="31" borderId="0" xfId="0" applyNumberFormat="1" applyFont="1" applyFill="1" applyBorder="1" applyAlignment="1" applyProtection="1">
      <alignment/>
      <protection hidden="1"/>
    </xf>
    <xf numFmtId="171" fontId="49" fillId="62" borderId="55" xfId="0" applyNumberFormat="1" applyFont="1" applyFill="1" applyBorder="1" applyAlignment="1" applyProtection="1">
      <alignment/>
      <protection locked="0"/>
    </xf>
    <xf numFmtId="171" fontId="49" fillId="62" borderId="66" xfId="0" applyNumberFormat="1" applyFont="1" applyFill="1" applyBorder="1" applyAlignment="1" applyProtection="1">
      <alignment/>
      <protection locked="0"/>
    </xf>
    <xf numFmtId="3" fontId="12" fillId="31" borderId="0" xfId="0" applyNumberFormat="1" applyFont="1" applyFill="1" applyBorder="1" applyAlignment="1" applyProtection="1">
      <alignment/>
      <protection hidden="1"/>
    </xf>
    <xf numFmtId="3" fontId="12" fillId="51" borderId="0" xfId="0" applyNumberFormat="1" applyFont="1" applyFill="1" applyBorder="1" applyAlignment="1" applyProtection="1">
      <alignment/>
      <protection hidden="1"/>
    </xf>
    <xf numFmtId="3" fontId="12" fillId="34" borderId="0" xfId="0" applyNumberFormat="1" applyFont="1" applyFill="1" applyBorder="1" applyAlignment="1" applyProtection="1">
      <alignment/>
      <protection hidden="1"/>
    </xf>
    <xf numFmtId="3" fontId="7" fillId="31" borderId="0" xfId="0" applyNumberFormat="1" applyFont="1" applyFill="1" applyBorder="1" applyAlignment="1" applyProtection="1">
      <alignment horizontal="center" wrapText="1"/>
      <protection hidden="1"/>
    </xf>
    <xf numFmtId="3" fontId="49" fillId="61" borderId="0" xfId="0" applyNumberFormat="1" applyFont="1" applyFill="1" applyBorder="1" applyAlignment="1" applyProtection="1">
      <alignment/>
      <protection hidden="1"/>
    </xf>
    <xf numFmtId="3" fontId="49" fillId="67" borderId="0" xfId="0" applyNumberFormat="1" applyFont="1" applyFill="1" applyBorder="1" applyAlignment="1" applyProtection="1">
      <alignment/>
      <protection hidden="1"/>
    </xf>
    <xf numFmtId="171" fontId="7" fillId="0" borderId="31" xfId="0" applyNumberFormat="1" applyFont="1" applyFill="1" applyBorder="1" applyAlignment="1" applyProtection="1">
      <alignment/>
      <protection hidden="1"/>
    </xf>
    <xf numFmtId="171" fontId="7" fillId="0" borderId="37" xfId="0" applyNumberFormat="1" applyFont="1" applyFill="1" applyBorder="1" applyAlignment="1" applyProtection="1">
      <alignment/>
      <protection hidden="1"/>
    </xf>
    <xf numFmtId="171" fontId="7" fillId="0" borderId="41" xfId="0" applyNumberFormat="1" applyFont="1" applyFill="1" applyBorder="1" applyAlignment="1" applyProtection="1">
      <alignment/>
      <protection hidden="1"/>
    </xf>
    <xf numFmtId="171" fontId="7" fillId="0" borderId="43" xfId="0" applyNumberFormat="1" applyFont="1" applyFill="1" applyBorder="1" applyAlignment="1" applyProtection="1">
      <alignment/>
      <protection hidden="1"/>
    </xf>
    <xf numFmtId="3" fontId="7" fillId="51" borderId="0" xfId="0" applyNumberFormat="1" applyFont="1" applyFill="1" applyBorder="1" applyAlignment="1" applyProtection="1">
      <alignment/>
      <protection hidden="1"/>
    </xf>
    <xf numFmtId="3" fontId="7" fillId="34" borderId="0" xfId="0" applyNumberFormat="1" applyFont="1" applyFill="1" applyBorder="1" applyAlignment="1" applyProtection="1">
      <alignment/>
      <protection hidden="1"/>
    </xf>
    <xf numFmtId="196" fontId="7" fillId="61" borderId="41" xfId="0" applyNumberFormat="1" applyFont="1" applyFill="1" applyBorder="1" applyAlignment="1" applyProtection="1">
      <alignment/>
      <protection hidden="1"/>
    </xf>
    <xf numFmtId="196" fontId="7" fillId="61" borderId="43" xfId="0" applyNumberFormat="1" applyFont="1" applyFill="1" applyBorder="1" applyAlignment="1" applyProtection="1">
      <alignment/>
      <protection hidden="1"/>
    </xf>
    <xf numFmtId="196" fontId="7" fillId="0" borderId="65" xfId="0" applyNumberFormat="1" applyFont="1" applyFill="1" applyBorder="1" applyAlignment="1" applyProtection="1">
      <alignment/>
      <protection hidden="1"/>
    </xf>
    <xf numFmtId="196" fontId="7" fillId="0" borderId="64" xfId="0" applyNumberFormat="1" applyFont="1" applyFill="1" applyBorder="1" applyAlignment="1" applyProtection="1">
      <alignment/>
      <protection hidden="1"/>
    </xf>
    <xf numFmtId="196" fontId="12" fillId="0" borderId="31" xfId="0" applyNumberFormat="1" applyFont="1" applyFill="1" applyBorder="1" applyAlignment="1" applyProtection="1">
      <alignment/>
      <protection hidden="1"/>
    </xf>
    <xf numFmtId="196" fontId="12" fillId="0" borderId="37" xfId="0" applyNumberFormat="1" applyFont="1" applyFill="1" applyBorder="1" applyAlignment="1" applyProtection="1">
      <alignment/>
      <protection hidden="1"/>
    </xf>
    <xf numFmtId="171" fontId="7" fillId="50" borderId="44" xfId="0" applyNumberFormat="1" applyFont="1" applyFill="1" applyBorder="1" applyAlignment="1" applyProtection="1">
      <alignment horizontal="right" vertical="center"/>
      <protection locked="0"/>
    </xf>
    <xf numFmtId="171" fontId="7" fillId="50" borderId="46" xfId="0" applyNumberFormat="1" applyFont="1" applyFill="1" applyBorder="1" applyAlignment="1" applyProtection="1">
      <alignment horizontal="right" vertical="center"/>
      <protection locked="0"/>
    </xf>
    <xf numFmtId="171" fontId="7" fillId="50" borderId="48" xfId="0" applyNumberFormat="1" applyFont="1" applyFill="1" applyBorder="1" applyAlignment="1" applyProtection="1">
      <alignment horizontal="right" vertical="center"/>
      <protection locked="0"/>
    </xf>
    <xf numFmtId="171" fontId="7" fillId="50" borderId="50" xfId="0" applyNumberFormat="1" applyFont="1" applyFill="1" applyBorder="1" applyAlignment="1" applyProtection="1">
      <alignment horizontal="right" vertical="center"/>
      <protection locked="0"/>
    </xf>
    <xf numFmtId="3" fontId="12" fillId="61" borderId="0" xfId="0" applyNumberFormat="1" applyFont="1" applyFill="1" applyBorder="1" applyAlignment="1" applyProtection="1">
      <alignment horizontal="center"/>
      <protection hidden="1"/>
    </xf>
    <xf numFmtId="171" fontId="49" fillId="61" borderId="41" xfId="0" applyNumberFormat="1" applyFont="1" applyFill="1" applyBorder="1" applyAlignment="1" applyProtection="1">
      <alignment/>
      <protection hidden="1"/>
    </xf>
    <xf numFmtId="171" fontId="49" fillId="61" borderId="43" xfId="0" applyNumberFormat="1" applyFont="1" applyFill="1" applyBorder="1" applyAlignment="1" applyProtection="1">
      <alignment/>
      <protection hidden="1"/>
    </xf>
    <xf numFmtId="201" fontId="7" fillId="0" borderId="0" xfId="0" applyNumberFormat="1" applyFont="1" applyFill="1" applyBorder="1" applyAlignment="1" applyProtection="1">
      <alignment/>
      <protection hidden="1"/>
    </xf>
    <xf numFmtId="201" fontId="41" fillId="33" borderId="0" xfId="0" applyNumberFormat="1" applyFont="1" applyFill="1" applyBorder="1" applyAlignment="1" applyProtection="1">
      <alignment/>
      <protection hidden="1"/>
    </xf>
    <xf numFmtId="3" fontId="12" fillId="61" borderId="0" xfId="0" applyNumberFormat="1" applyFont="1" applyFill="1" applyBorder="1" applyAlignment="1" applyProtection="1">
      <alignment/>
      <protection hidden="1"/>
    </xf>
    <xf numFmtId="3" fontId="12" fillId="67" borderId="0" xfId="0" applyNumberFormat="1" applyFont="1" applyFill="1" applyBorder="1" applyAlignment="1" applyProtection="1">
      <alignment/>
      <protection hidden="1"/>
    </xf>
    <xf numFmtId="3" fontId="7" fillId="51" borderId="0" xfId="0" applyNumberFormat="1" applyFont="1" applyFill="1" applyBorder="1" applyAlignment="1" applyProtection="1">
      <alignment/>
      <protection hidden="1"/>
    </xf>
    <xf numFmtId="3" fontId="7" fillId="34" borderId="0" xfId="0" applyNumberFormat="1" applyFont="1" applyFill="1" applyBorder="1" applyAlignment="1" applyProtection="1">
      <alignment/>
      <protection hidden="1"/>
    </xf>
    <xf numFmtId="3" fontId="49" fillId="32" borderId="0" xfId="0" applyNumberFormat="1" applyFont="1" applyFill="1" applyBorder="1" applyAlignment="1" applyProtection="1">
      <alignment/>
      <protection hidden="1"/>
    </xf>
    <xf numFmtId="194" fontId="49" fillId="35" borderId="55" xfId="0" applyNumberFormat="1" applyFont="1" applyFill="1" applyBorder="1" applyAlignment="1" applyProtection="1">
      <alignment/>
      <protection locked="0"/>
    </xf>
    <xf numFmtId="194" fontId="49" fillId="35" borderId="66" xfId="0" applyNumberFormat="1" applyFont="1" applyFill="1" applyBorder="1" applyAlignment="1" applyProtection="1">
      <alignment/>
      <protection locked="0"/>
    </xf>
    <xf numFmtId="3" fontId="49" fillId="31" borderId="0" xfId="0" applyNumberFormat="1" applyFont="1" applyFill="1" applyBorder="1" applyAlignment="1" applyProtection="1">
      <alignment vertical="center"/>
      <protection hidden="1"/>
    </xf>
    <xf numFmtId="3" fontId="12" fillId="31" borderId="0" xfId="0" applyNumberFormat="1" applyFont="1" applyFill="1" applyBorder="1" applyAlignment="1" applyProtection="1">
      <alignment vertical="top"/>
      <protection hidden="1"/>
    </xf>
    <xf numFmtId="3" fontId="7" fillId="31" borderId="0" xfId="0" applyNumberFormat="1" applyFont="1" applyFill="1" applyBorder="1" applyAlignment="1" applyProtection="1">
      <alignment horizontal="center" vertical="center" wrapText="1"/>
      <protection hidden="1"/>
    </xf>
    <xf numFmtId="3" fontId="7" fillId="31" borderId="0" xfId="0" applyNumberFormat="1" applyFont="1" applyFill="1" applyBorder="1" applyAlignment="1" applyProtection="1">
      <alignment horizontal="center" vertical="center"/>
      <protection hidden="1"/>
    </xf>
    <xf numFmtId="3" fontId="7" fillId="34" borderId="0" xfId="0" applyNumberFormat="1" applyFont="1" applyFill="1" applyBorder="1" applyAlignment="1" applyProtection="1">
      <alignment vertical="center" wrapText="1"/>
      <protection hidden="1"/>
    </xf>
    <xf numFmtId="200" fontId="7" fillId="0" borderId="35" xfId="0" applyNumberFormat="1" applyFont="1" applyFill="1" applyBorder="1" applyAlignment="1" applyProtection="1">
      <alignment horizontal="center" vertical="center"/>
      <protection hidden="1"/>
    </xf>
    <xf numFmtId="200" fontId="41" fillId="33" borderId="36" xfId="0" applyNumberFormat="1" applyFont="1" applyFill="1" applyBorder="1" applyAlignment="1" applyProtection="1">
      <alignment horizontal="center" vertical="center"/>
      <protection hidden="1"/>
    </xf>
    <xf numFmtId="0" fontId="12" fillId="31" borderId="0" xfId="0" applyFont="1" applyFill="1" applyBorder="1" applyAlignment="1" applyProtection="1">
      <alignment/>
      <protection hidden="1"/>
    </xf>
    <xf numFmtId="3" fontId="49" fillId="31" borderId="0" xfId="0" applyNumberFormat="1" applyFont="1" applyFill="1" applyBorder="1" applyAlignment="1" applyProtection="1">
      <alignment/>
      <protection hidden="1"/>
    </xf>
    <xf numFmtId="191" fontId="12" fillId="0" borderId="34" xfId="0" applyNumberFormat="1" applyFont="1" applyFill="1" applyBorder="1" applyAlignment="1" applyProtection="1">
      <alignment horizontal="center" vertical="center"/>
      <protection hidden="1"/>
    </xf>
    <xf numFmtId="191" fontId="12" fillId="0" borderId="35" xfId="0" applyNumberFormat="1" applyFont="1" applyFill="1" applyBorder="1" applyAlignment="1" applyProtection="1">
      <alignment horizontal="center" vertical="center"/>
      <protection hidden="1"/>
    </xf>
    <xf numFmtId="191" fontId="12" fillId="0" borderId="36" xfId="0" applyNumberFormat="1" applyFont="1" applyFill="1" applyBorder="1" applyAlignment="1" applyProtection="1">
      <alignment horizontal="center" vertical="center"/>
      <protection hidden="1"/>
    </xf>
    <xf numFmtId="3" fontId="7" fillId="51" borderId="63" xfId="0" applyNumberFormat="1" applyFont="1" applyFill="1" applyBorder="1" applyAlignment="1" applyProtection="1">
      <alignment horizontal="left" wrapText="1"/>
      <protection hidden="1"/>
    </xf>
    <xf numFmtId="3" fontId="7" fillId="51" borderId="0" xfId="0" applyNumberFormat="1" applyFont="1" applyFill="1" applyBorder="1" applyAlignment="1" applyProtection="1">
      <alignment horizontal="left" wrapText="1"/>
      <protection hidden="1"/>
    </xf>
    <xf numFmtId="0" fontId="19" fillId="54" borderId="0" xfId="0" applyFont="1" applyFill="1" applyBorder="1" applyAlignment="1" applyProtection="1">
      <alignment horizontal="left" vertical="center" wrapText="1"/>
      <protection hidden="1"/>
    </xf>
    <xf numFmtId="0" fontId="9" fillId="54" borderId="0" xfId="0" applyFont="1" applyFill="1" applyBorder="1" applyAlignment="1" applyProtection="1">
      <alignment horizontal="left" vertical="center" wrapText="1"/>
      <protection hidden="1"/>
    </xf>
    <xf numFmtId="254" fontId="65" fillId="0" borderId="31" xfId="0" applyNumberFormat="1" applyFont="1" applyFill="1" applyBorder="1" applyAlignment="1" applyProtection="1">
      <alignment/>
      <protection hidden="1"/>
    </xf>
    <xf numFmtId="254" fontId="65" fillId="0" borderId="37" xfId="0" applyNumberFormat="1" applyFont="1" applyFill="1" applyBorder="1" applyAlignment="1" applyProtection="1">
      <alignment/>
      <protection hidden="1"/>
    </xf>
    <xf numFmtId="0" fontId="46" fillId="54" borderId="0" xfId="0" applyFont="1" applyFill="1" applyBorder="1" applyAlignment="1" applyProtection="1">
      <alignment vertical="center"/>
      <protection hidden="1"/>
    </xf>
    <xf numFmtId="3" fontId="7" fillId="0" borderId="0" xfId="0" applyNumberFormat="1" applyFont="1" applyFill="1" applyBorder="1" applyAlignment="1" applyProtection="1">
      <alignment horizontal="left" vertical="center"/>
      <protection hidden="1"/>
    </xf>
    <xf numFmtId="221" fontId="7" fillId="0" borderId="0" xfId="0" applyNumberFormat="1" applyFont="1" applyFill="1" applyBorder="1" applyAlignment="1" applyProtection="1">
      <alignment horizontal="left" vertical="center"/>
      <protection hidden="1"/>
    </xf>
    <xf numFmtId="222" fontId="7" fillId="0" borderId="0" xfId="0" applyNumberFormat="1" applyFont="1" applyFill="1" applyBorder="1" applyAlignment="1" applyProtection="1">
      <alignment horizontal="center" vertical="center"/>
      <protection hidden="1"/>
    </xf>
    <xf numFmtId="225" fontId="12" fillId="27" borderId="31" xfId="0" applyNumberFormat="1" applyFont="1" applyFill="1" applyBorder="1" applyAlignment="1" applyProtection="1">
      <alignment horizontal="center"/>
      <protection hidden="1"/>
    </xf>
    <xf numFmtId="225" fontId="12" fillId="27" borderId="33" xfId="0" applyNumberFormat="1" applyFont="1" applyFill="1" applyBorder="1" applyAlignment="1" applyProtection="1">
      <alignment horizontal="center"/>
      <protection hidden="1"/>
    </xf>
    <xf numFmtId="225" fontId="12" fillId="27" borderId="37" xfId="0" applyNumberFormat="1" applyFont="1" applyFill="1" applyBorder="1" applyAlignment="1" applyProtection="1">
      <alignment horizontal="center"/>
      <protection hidden="1"/>
    </xf>
    <xf numFmtId="209" fontId="7" fillId="0" borderId="0" xfId="0" applyNumberFormat="1" applyFont="1" applyFill="1" applyBorder="1" applyAlignment="1" applyProtection="1">
      <alignment horizontal="center" vertical="center"/>
      <protection hidden="1"/>
    </xf>
    <xf numFmtId="0" fontId="12" fillId="31" borderId="0" xfId="0" applyFont="1" applyFill="1" applyBorder="1" applyAlignment="1" applyProtection="1">
      <alignment vertical="center"/>
      <protection hidden="1"/>
    </xf>
    <xf numFmtId="0" fontId="7" fillId="27" borderId="0" xfId="0" applyFont="1" applyFill="1" applyBorder="1" applyAlignment="1" applyProtection="1">
      <alignment horizontal="center" vertical="center"/>
      <protection hidden="1"/>
    </xf>
    <xf numFmtId="224" fontId="7" fillId="27" borderId="0" xfId="0" applyNumberFormat="1" applyFont="1" applyFill="1" applyBorder="1" applyAlignment="1" applyProtection="1">
      <alignment horizontal="center" vertical="center"/>
      <protection hidden="1"/>
    </xf>
    <xf numFmtId="222" fontId="7" fillId="0" borderId="0" xfId="0" applyNumberFormat="1" applyFont="1" applyFill="1" applyBorder="1" applyAlignment="1" applyProtection="1">
      <alignment horizontal="left" vertical="center"/>
      <protection hidden="1"/>
    </xf>
    <xf numFmtId="255" fontId="7" fillId="0" borderId="0" xfId="0" applyNumberFormat="1" applyFont="1" applyFill="1" applyBorder="1" applyAlignment="1" applyProtection="1">
      <alignment horizontal="left" vertical="center"/>
      <protection hidden="1"/>
    </xf>
    <xf numFmtId="0" fontId="12" fillId="31" borderId="27" xfId="0" applyFont="1" applyFill="1" applyBorder="1" applyAlignment="1" applyProtection="1">
      <alignment horizontal="center" vertical="center"/>
      <protection hidden="1"/>
    </xf>
    <xf numFmtId="213" fontId="56" fillId="51" borderId="0" xfId="0" applyNumberFormat="1" applyFont="1" applyFill="1" applyBorder="1" applyAlignment="1" applyProtection="1">
      <alignment horizontal="center" vertical="center"/>
      <protection hidden="1"/>
    </xf>
    <xf numFmtId="213" fontId="56" fillId="51" borderId="64" xfId="0" applyNumberFormat="1" applyFont="1" applyFill="1" applyBorder="1" applyAlignment="1" applyProtection="1">
      <alignment horizontal="center" vertical="center"/>
      <protection hidden="1"/>
    </xf>
    <xf numFmtId="206" fontId="49" fillId="0" borderId="31" xfId="0" applyNumberFormat="1" applyFont="1" applyFill="1" applyBorder="1" applyAlignment="1" applyProtection="1">
      <alignment horizontal="center" vertical="center"/>
      <protection hidden="1"/>
    </xf>
    <xf numFmtId="206" fontId="49" fillId="0" borderId="33" xfId="0" applyNumberFormat="1" applyFont="1" applyFill="1" applyBorder="1" applyAlignment="1" applyProtection="1">
      <alignment horizontal="center" vertical="center"/>
      <protection hidden="1"/>
    </xf>
    <xf numFmtId="0" fontId="12" fillId="59" borderId="34" xfId="0" applyFont="1" applyFill="1" applyBorder="1" applyAlignment="1" applyProtection="1">
      <alignment horizontal="center" vertical="center" wrapText="1"/>
      <protection hidden="1"/>
    </xf>
    <xf numFmtId="0" fontId="12" fillId="59" borderId="35" xfId="0" applyFont="1" applyFill="1" applyBorder="1" applyAlignment="1" applyProtection="1">
      <alignment horizontal="center" vertical="center" wrapText="1"/>
      <protection hidden="1"/>
    </xf>
    <xf numFmtId="0" fontId="12" fillId="59" borderId="36" xfId="0" applyFont="1" applyFill="1" applyBorder="1" applyAlignment="1" applyProtection="1">
      <alignment horizontal="center" vertical="center" wrapText="1"/>
      <protection hidden="1"/>
    </xf>
    <xf numFmtId="0" fontId="67" fillId="31" borderId="67" xfId="0" applyFont="1" applyFill="1" applyBorder="1" applyAlignment="1" applyProtection="1">
      <alignment vertical="center"/>
      <protection hidden="1"/>
    </xf>
    <xf numFmtId="0" fontId="67" fillId="31" borderId="40" xfId="0" applyFont="1" applyFill="1" applyBorder="1" applyAlignment="1" applyProtection="1">
      <alignment vertical="center"/>
      <protection hidden="1"/>
    </xf>
    <xf numFmtId="0" fontId="12" fillId="31" borderId="0" xfId="0" applyFont="1" applyFill="1" applyBorder="1" applyAlignment="1" applyProtection="1">
      <alignment horizontal="center"/>
      <protection hidden="1"/>
    </xf>
    <xf numFmtId="0" fontId="40" fillId="60" borderId="0" xfId="112" applyFont="1" applyFill="1" applyAlignment="1" applyProtection="1">
      <alignment horizontal="center" vertical="center" wrapText="1"/>
      <protection hidden="1"/>
    </xf>
    <xf numFmtId="0" fontId="77" fillId="31" borderId="0" xfId="111" applyFont="1" applyFill="1" applyBorder="1" applyAlignment="1" applyProtection="1">
      <alignment horizontal="center" vertical="center" wrapText="1"/>
      <protection hidden="1"/>
    </xf>
    <xf numFmtId="0" fontId="12" fillId="31" borderId="0" xfId="111" applyFont="1" applyFill="1" applyBorder="1" applyAlignment="1" applyProtection="1">
      <alignment horizontal="center" vertical="center"/>
      <protection hidden="1"/>
    </xf>
    <xf numFmtId="0" fontId="77" fillId="31" borderId="27" xfId="111" applyFont="1" applyFill="1" applyBorder="1" applyAlignment="1" applyProtection="1">
      <alignment horizontal="center" vertical="center" wrapText="1"/>
      <protection hidden="1"/>
    </xf>
    <xf numFmtId="245" fontId="7" fillId="0" borderId="41" xfId="111" applyNumberFormat="1" applyFont="1" applyFill="1" applyBorder="1" applyAlignment="1" applyProtection="1">
      <alignment vertical="center"/>
      <protection hidden="1"/>
    </xf>
    <xf numFmtId="245" fontId="7" fillId="0" borderId="43" xfId="111" applyNumberFormat="1" applyFont="1" applyFill="1" applyBorder="1" applyAlignment="1" applyProtection="1">
      <alignment vertical="center"/>
      <protection hidden="1"/>
    </xf>
    <xf numFmtId="234" fontId="7" fillId="38" borderId="55" xfId="111" applyNumberFormat="1" applyFont="1" applyFill="1" applyBorder="1" applyAlignment="1" applyProtection="1">
      <alignment vertical="center"/>
      <protection locked="0"/>
    </xf>
    <xf numFmtId="234" fontId="7" fillId="38" borderId="66" xfId="111" applyNumberFormat="1" applyFont="1" applyFill="1" applyBorder="1" applyAlignment="1" applyProtection="1">
      <alignment vertical="center"/>
      <protection locked="0"/>
    </xf>
    <xf numFmtId="241" fontId="7" fillId="38" borderId="55" xfId="111" applyNumberFormat="1" applyFont="1" applyFill="1" applyBorder="1" applyAlignment="1" applyProtection="1">
      <alignment vertical="center"/>
      <protection locked="0"/>
    </xf>
    <xf numFmtId="241" fontId="7" fillId="38" borderId="66" xfId="111" applyNumberFormat="1" applyFont="1" applyFill="1" applyBorder="1" applyAlignment="1" applyProtection="1">
      <alignment vertical="center"/>
      <protection locked="0"/>
    </xf>
    <xf numFmtId="243" fontId="12" fillId="50" borderId="55" xfId="111" applyNumberFormat="1" applyFont="1" applyFill="1" applyBorder="1" applyAlignment="1" applyProtection="1">
      <alignment vertical="center"/>
      <protection locked="0"/>
    </xf>
    <xf numFmtId="243" fontId="12" fillId="50" borderId="66" xfId="111" applyNumberFormat="1" applyFont="1" applyFill="1" applyBorder="1" applyAlignment="1" applyProtection="1">
      <alignment vertical="center"/>
      <protection locked="0"/>
    </xf>
    <xf numFmtId="243" fontId="12" fillId="32" borderId="0" xfId="111" applyNumberFormat="1" applyFont="1" applyFill="1" applyBorder="1" applyAlignment="1" applyProtection="1">
      <alignment vertical="center" wrapText="1"/>
      <protection hidden="1"/>
    </xf>
    <xf numFmtId="243" fontId="12" fillId="32" borderId="51" xfId="111" applyNumberFormat="1" applyFont="1" applyFill="1" applyBorder="1" applyAlignment="1" applyProtection="1">
      <alignment vertical="center" wrapText="1"/>
      <protection hidden="1"/>
    </xf>
    <xf numFmtId="0" fontId="77" fillId="31" borderId="0" xfId="111" applyFont="1" applyFill="1" applyBorder="1" applyAlignment="1" applyProtection="1">
      <alignment horizontal="center" vertical="center"/>
      <protection hidden="1"/>
    </xf>
    <xf numFmtId="0" fontId="77" fillId="31" borderId="27" xfId="111" applyFont="1" applyFill="1" applyBorder="1" applyAlignment="1" applyProtection="1">
      <alignment horizontal="center" vertical="center"/>
      <protection hidden="1"/>
    </xf>
    <xf numFmtId="0" fontId="12" fillId="31" borderId="0" xfId="0" applyFont="1" applyFill="1" applyBorder="1" applyAlignment="1" applyProtection="1">
      <alignment horizontal="right"/>
      <protection hidden="1"/>
    </xf>
    <xf numFmtId="3" fontId="12" fillId="31" borderId="0" xfId="0" applyNumberFormat="1" applyFont="1" applyFill="1" applyBorder="1" applyAlignment="1" applyProtection="1">
      <alignment horizontal="center" wrapText="1"/>
      <protection hidden="1"/>
    </xf>
    <xf numFmtId="0" fontId="12" fillId="31" borderId="0" xfId="0" applyNumberFormat="1" applyFont="1" applyFill="1" applyBorder="1" applyAlignment="1" applyProtection="1">
      <alignment horizontal="left" vertical="center"/>
      <protection hidden="1"/>
    </xf>
    <xf numFmtId="0" fontId="72" fillId="0" borderId="0" xfId="112" applyFont="1" applyAlignment="1" applyProtection="1">
      <alignment horizontal="center" vertical="center" textRotation="90" wrapText="1"/>
      <protection hidden="1"/>
    </xf>
    <xf numFmtId="0" fontId="72" fillId="0" borderId="0" xfId="112" applyFont="1" applyAlignment="1" applyProtection="1">
      <alignment horizontal="center" vertical="center" textRotation="90"/>
      <protection hidden="1"/>
    </xf>
    <xf numFmtId="0" fontId="70" fillId="0" borderId="68" xfId="112" applyFont="1" applyFill="1" applyBorder="1" applyAlignment="1" applyProtection="1">
      <alignment horizontal="justify" vertical="center" wrapText="1"/>
      <protection hidden="1"/>
    </xf>
    <xf numFmtId="0" fontId="70" fillId="0" borderId="26" xfId="112" applyFont="1" applyFill="1" applyBorder="1" applyAlignment="1" applyProtection="1">
      <alignment horizontal="justify" vertical="center"/>
      <protection hidden="1"/>
    </xf>
    <xf numFmtId="0" fontId="70" fillId="0" borderId="69" xfId="112" applyFont="1" applyFill="1" applyBorder="1" applyAlignment="1" applyProtection="1">
      <alignment horizontal="justify" vertical="center"/>
      <protection hidden="1"/>
    </xf>
    <xf numFmtId="0" fontId="70" fillId="0" borderId="56" xfId="112" applyFont="1" applyFill="1" applyBorder="1" applyAlignment="1" applyProtection="1">
      <alignment horizontal="justify" vertical="center"/>
      <protection hidden="1"/>
    </xf>
    <xf numFmtId="0" fontId="70" fillId="0" borderId="0" xfId="112" applyFont="1" applyFill="1" applyBorder="1" applyAlignment="1" applyProtection="1">
      <alignment horizontal="justify" vertical="center"/>
      <protection hidden="1"/>
    </xf>
    <xf numFmtId="0" fontId="70" fillId="0" borderId="22" xfId="112" applyFont="1" applyFill="1" applyBorder="1" applyAlignment="1" applyProtection="1">
      <alignment horizontal="justify" vertical="center"/>
      <protection hidden="1"/>
    </xf>
    <xf numFmtId="0" fontId="70" fillId="0" borderId="70" xfId="112" applyFont="1" applyFill="1" applyBorder="1" applyAlignment="1" applyProtection="1">
      <alignment horizontal="justify" vertical="center"/>
      <protection hidden="1"/>
    </xf>
    <xf numFmtId="0" fontId="7" fillId="38" borderId="0" xfId="0" applyFont="1" applyFill="1" applyBorder="1" applyAlignment="1" applyProtection="1">
      <alignment horizontal="center" vertical="center"/>
      <protection locked="0"/>
    </xf>
    <xf numFmtId="0" fontId="12" fillId="32" borderId="47" xfId="0" applyFont="1" applyFill="1" applyBorder="1" applyAlignment="1" applyProtection="1">
      <alignment horizontal="right" vertical="center"/>
      <protection hidden="1"/>
    </xf>
    <xf numFmtId="0" fontId="12" fillId="32" borderId="0" xfId="0" applyFont="1" applyFill="1" applyBorder="1" applyAlignment="1" applyProtection="1">
      <alignment horizontal="center" vertical="center"/>
      <protection hidden="1"/>
    </xf>
  </cellXfs>
  <cellStyles count="11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bzug-Währung mit 2 Komma" xfId="33"/>
    <cellStyle name="Akzent1" xfId="34"/>
    <cellStyle name="Akzent2" xfId="35"/>
    <cellStyle name="Akzent3" xfId="36"/>
    <cellStyle name="Akzent4" xfId="37"/>
    <cellStyle name="Akzent5" xfId="38"/>
    <cellStyle name="Akzent6" xfId="39"/>
    <cellStyle name="Ausgabe" xfId="40"/>
    <cellStyle name="Berechnung" xfId="41"/>
    <cellStyle name="Berechnung-Währung mit 2 Komma" xfId="42"/>
    <cellStyle name="Berechnung-Währung mit 2 Komma-Fett" xfId="43"/>
    <cellStyle name="Followed Hyperlink" xfId="44"/>
    <cellStyle name="d1" xfId="45"/>
    <cellStyle name="d2l" xfId="46"/>
    <cellStyle name="d2r" xfId="47"/>
    <cellStyle name="d3l" xfId="48"/>
    <cellStyle name="d3r" xfId="49"/>
    <cellStyle name="D-Angaben" xfId="50"/>
    <cellStyle name="Dateneingabe-Überschrift3" xfId="51"/>
    <cellStyle name="D-Copyright" xfId="52"/>
    <cellStyle name="D-Eingabefelder" xfId="53"/>
    <cellStyle name="D-Euro8F" xfId="54"/>
    <cellStyle name="Comma [0]" xfId="55"/>
    <cellStyle name="Dezimal_ST" xfId="56"/>
    <cellStyle name="Dezimal_Winterweizen_DW Silage" xfId="57"/>
    <cellStyle name="D-Grau" xfId="58"/>
    <cellStyle name="D-Grau-Unterstirch-hell" xfId="59"/>
    <cellStyle name="D-Hilfetext" xfId="60"/>
    <cellStyle name="Diabeschreibung" xfId="61"/>
    <cellStyle name="DiabeZeile1" xfId="62"/>
    <cellStyle name="Dialog_Elemente" xfId="63"/>
    <cellStyle name="D-Jahr8F" xfId="64"/>
    <cellStyle name="D-Jahre8F" xfId="65"/>
    <cellStyle name="D-Prozent8Blau" xfId="66"/>
    <cellStyle name="D-Prozent8F" xfId="67"/>
    <cellStyle name="D-Stunden8F" xfId="68"/>
    <cellStyle name="D-Text" xfId="69"/>
    <cellStyle name="D-Text12" xfId="70"/>
    <cellStyle name="D-Text12F" xfId="71"/>
    <cellStyle name="D-Text8" xfId="72"/>
    <cellStyle name="D-Text8ArialBlack" xfId="73"/>
    <cellStyle name="D-Text8F" xfId="74"/>
    <cellStyle name="D-Text8Schwarz" xfId="75"/>
    <cellStyle name="D-Text8SchwarzF" xfId="76"/>
    <cellStyle name="D-Überschrift" xfId="77"/>
    <cellStyle name="D-Weiß12" xfId="78"/>
    <cellStyle name="e1" xfId="79"/>
    <cellStyle name="Eingabe" xfId="80"/>
    <cellStyle name="Ergebnis" xfId="81"/>
    <cellStyle name="Erklärender Text" xfId="82"/>
    <cellStyle name="Euro" xfId="83"/>
    <cellStyle name="Formel-Fett" xfId="84"/>
    <cellStyle name="Formel-Rabatt-Prozent ohne Komma" xfId="85"/>
    <cellStyle name="Formel-Skonto-Prozent ohne Komma" xfId="86"/>
    <cellStyle name="Formel-Standard" xfId="87"/>
    <cellStyle name="grau" xfId="88"/>
    <cellStyle name="grün" xfId="89"/>
    <cellStyle name="Gut" xfId="90"/>
    <cellStyle name="Comma" xfId="91"/>
    <cellStyle name="Leerzelle" xfId="92"/>
    <cellStyle name="Hyperlink" xfId="93"/>
    <cellStyle name="Makro_Aufruf" xfId="94"/>
    <cellStyle name="Makrobefehle" xfId="95"/>
    <cellStyle name="Makrobeginn" xfId="96"/>
    <cellStyle name="Makrobezeichnung" xfId="97"/>
    <cellStyle name="Makrocode" xfId="98"/>
    <cellStyle name="Makroende" xfId="99"/>
    <cellStyle name="Menübeschreibung" xfId="100"/>
    <cellStyle name="Namen_Bereich" xfId="101"/>
    <cellStyle name="Namensliste" xfId="102"/>
    <cellStyle name="Neutral" xfId="103"/>
    <cellStyle name="Notiz" xfId="104"/>
    <cellStyle name="Percent" xfId="105"/>
    <cellStyle name="Rot" xfId="106"/>
    <cellStyle name="Schlecht" xfId="107"/>
    <cellStyle name="Schleife" xfId="108"/>
    <cellStyle name="Schleifenbeginn" xfId="109"/>
    <cellStyle name="Schleifenende" xfId="110"/>
    <cellStyle name="Standard_bsp - jogurt" xfId="111"/>
    <cellStyle name="Standard_mkk für plare neu" xfId="112"/>
    <cellStyle name="Standard_Modell VK-Wirtschaftsduengung" xfId="113"/>
    <cellStyle name="Standard_ST" xfId="114"/>
    <cellStyle name="Standard_vollkostenrechnung jogurt für plare neu" xfId="115"/>
    <cellStyle name="Suchkriterien" xfId="116"/>
    <cellStyle name="Überschrift" xfId="117"/>
    <cellStyle name="Überschrift 1" xfId="118"/>
    <cellStyle name="Überschrift 2" xfId="119"/>
    <cellStyle name="Überschrift 3" xfId="120"/>
    <cellStyle name="Überschrift 4" xfId="121"/>
    <cellStyle name="Verknüpfte Zelle" xfId="122"/>
    <cellStyle name="Currency" xfId="123"/>
    <cellStyle name="Currency [0]" xfId="124"/>
    <cellStyle name="Warnender Text" xfId="125"/>
    <cellStyle name="Wenn_Bedingung" xfId="126"/>
    <cellStyle name="zahlen" xfId="127"/>
    <cellStyle name="Zelle überprüfen" xfId="128"/>
  </cellStyles>
  <dxfs count="201">
    <dxf>
      <font>
        <b/>
        <i val="0"/>
        <color indexed="17"/>
      </font>
    </dxf>
    <dxf>
      <font>
        <b/>
        <i val="0"/>
        <color indexed="10"/>
      </font>
    </dxf>
    <dxf>
      <font>
        <color indexed="22"/>
      </font>
      <fill>
        <patternFill>
          <bgColor indexed="22"/>
        </patternFill>
      </fill>
      <border>
        <left/>
        <right/>
        <top/>
        <bottom/>
      </border>
    </dxf>
    <dxf>
      <font>
        <color indexed="22"/>
      </font>
      <fill>
        <patternFill>
          <bgColor indexed="22"/>
        </patternFill>
      </fill>
      <border>
        <left/>
        <right/>
        <top/>
        <bottom/>
      </border>
    </dxf>
    <dxf>
      <font>
        <color indexed="22"/>
      </font>
      <fill>
        <patternFill>
          <bgColor indexed="22"/>
        </patternFill>
      </fill>
      <border>
        <left/>
        <right/>
        <top/>
        <bottom/>
      </border>
    </dxf>
    <dxf>
      <font>
        <color indexed="22"/>
      </font>
      <fill>
        <patternFill>
          <bgColor indexed="22"/>
        </patternFill>
      </fill>
      <border>
        <left/>
        <right/>
        <top/>
        <bottom/>
      </border>
    </dxf>
    <dxf>
      <font>
        <color indexed="22"/>
      </font>
      <fill>
        <patternFill>
          <bgColor indexed="22"/>
        </patternFill>
      </fill>
      <border>
        <left/>
        <right/>
        <top/>
        <bottom/>
      </border>
    </dxf>
    <dxf>
      <font>
        <color indexed="9"/>
      </font>
    </dxf>
    <dxf>
      <font>
        <b/>
        <i val="0"/>
        <color indexed="10"/>
      </font>
    </dxf>
    <dxf>
      <font>
        <b/>
        <i val="0"/>
        <color indexed="10"/>
      </font>
    </dxf>
    <dxf>
      <font>
        <b/>
        <i val="0"/>
        <color indexed="10"/>
      </font>
    </dxf>
    <dxf>
      <font>
        <b/>
        <i val="0"/>
        <color indexed="10"/>
      </font>
    </dxf>
    <dxf>
      <font>
        <color indexed="22"/>
      </font>
      <fill>
        <patternFill>
          <bgColor indexed="22"/>
        </patternFill>
      </fill>
      <border>
        <left/>
        <right/>
        <top/>
        <bottom/>
      </border>
    </dxf>
    <dxf>
      <font>
        <color indexed="22"/>
      </font>
      <fill>
        <patternFill>
          <bgColor indexed="22"/>
        </patternFill>
      </fill>
      <border>
        <left/>
        <right/>
        <top/>
        <bottom/>
      </border>
    </dxf>
    <dxf>
      <font>
        <color indexed="22"/>
      </font>
      <fill>
        <patternFill>
          <bgColor indexed="22"/>
        </patternFill>
      </fill>
      <border>
        <left/>
        <right/>
        <top/>
        <bottom/>
      </border>
    </dxf>
    <dxf>
      <font>
        <color indexed="22"/>
      </font>
      <fill>
        <patternFill>
          <bgColor indexed="22"/>
        </patternFill>
      </fill>
      <border>
        <left/>
        <right/>
        <top/>
        <bottom/>
      </border>
    </dxf>
    <dxf>
      <font>
        <color indexed="22"/>
      </font>
      <fill>
        <patternFill>
          <bgColor indexed="22"/>
        </patternFill>
      </fill>
      <border>
        <left/>
        <right/>
        <top/>
        <bottom/>
      </border>
    </dxf>
    <dxf>
      <font>
        <color indexed="9"/>
      </font>
    </dxf>
    <dxf>
      <font>
        <b/>
        <i val="0"/>
        <color indexed="10"/>
      </font>
    </dxf>
    <dxf>
      <font>
        <b/>
        <i val="0"/>
        <color indexed="10"/>
      </font>
    </dxf>
    <dxf>
      <font>
        <b/>
        <i val="0"/>
        <color indexed="10"/>
      </font>
    </dxf>
    <dxf>
      <font>
        <b/>
        <i val="0"/>
        <color indexed="10"/>
      </font>
    </dxf>
    <dxf>
      <font>
        <b/>
        <i val="0"/>
        <color indexed="10"/>
      </font>
    </dxf>
    <dxf>
      <fill>
        <patternFill patternType="none">
          <bgColor indexed="65"/>
        </patternFill>
      </fill>
      <border>
        <left/>
        <right/>
        <top/>
        <bottom/>
      </border>
    </dxf>
    <dxf>
      <font>
        <b/>
        <i val="0"/>
        <color indexed="10"/>
      </font>
    </dxf>
    <dxf>
      <font>
        <b/>
        <i val="0"/>
        <color indexed="9"/>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45"/>
      </font>
    </dxf>
    <dxf>
      <font>
        <b/>
        <i val="0"/>
        <color indexed="10"/>
      </font>
    </dxf>
    <dxf>
      <font>
        <color indexed="9"/>
      </font>
      <fill>
        <patternFill patternType="none">
          <bgColor indexed="65"/>
        </patternFill>
      </fill>
      <border>
        <left/>
        <right/>
        <top/>
        <bottom/>
      </border>
    </dxf>
    <dxf>
      <font>
        <b/>
        <i val="0"/>
        <color indexed="10"/>
      </font>
    </dxf>
    <dxf>
      <font>
        <b/>
        <i val="0"/>
        <color indexed="10"/>
      </font>
      <fill>
        <patternFill>
          <bgColor indexed="8"/>
        </patternFill>
      </fill>
    </dxf>
    <dxf>
      <font>
        <b/>
        <i val="0"/>
        <color indexed="43"/>
      </font>
      <fill>
        <patternFill>
          <bgColor indexed="12"/>
        </patternFill>
      </fill>
    </dxf>
    <dxf>
      <font>
        <b/>
        <i val="0"/>
        <color indexed="34"/>
      </font>
      <fill>
        <patternFill>
          <bgColor indexed="10"/>
        </patternFill>
      </fill>
    </dxf>
    <dxf>
      <font>
        <b/>
        <i val="0"/>
        <color indexed="10"/>
      </font>
    </dxf>
    <dxf>
      <font>
        <b/>
        <i val="0"/>
        <color indexed="43"/>
      </font>
      <fill>
        <patternFill>
          <bgColor indexed="12"/>
        </patternFill>
      </fill>
    </dxf>
    <dxf>
      <font>
        <b/>
        <i val="0"/>
        <color indexed="34"/>
      </font>
      <fill>
        <patternFill>
          <bgColor indexed="10"/>
        </patternFill>
      </fill>
    </dxf>
    <dxf>
      <font>
        <b/>
        <i val="0"/>
        <color indexed="34"/>
      </font>
      <fill>
        <patternFill>
          <bgColor indexed="10"/>
        </patternFill>
      </fill>
    </dxf>
    <dxf>
      <font>
        <b/>
        <i val="0"/>
        <color indexed="43"/>
      </font>
      <fill>
        <patternFill>
          <bgColor indexed="12"/>
        </patternFill>
      </fill>
    </dxf>
    <dxf>
      <font>
        <b/>
        <i val="0"/>
        <color indexed="10"/>
      </font>
      <fill>
        <patternFill>
          <bgColor indexed="8"/>
        </patternFill>
      </fill>
    </dxf>
    <dxf>
      <border>
        <left/>
        <right/>
        <top/>
        <bottom/>
      </border>
    </dxf>
    <dxf>
      <border>
        <left/>
        <right/>
        <top/>
        <bottom/>
      </border>
    </dxf>
    <dxf>
      <font>
        <color indexed="23"/>
      </font>
      <fill>
        <patternFill>
          <bgColor indexed="23"/>
        </patternFill>
      </fill>
      <border>
        <left/>
        <right/>
        <top/>
        <bottom/>
      </border>
    </dxf>
    <dxf>
      <fill>
        <patternFill patternType="none">
          <bgColor indexed="65"/>
        </patternFill>
      </fill>
      <border>
        <left/>
        <right/>
        <top/>
        <bottom/>
      </border>
    </dxf>
    <dxf>
      <font>
        <color indexed="23"/>
      </font>
    </dxf>
    <dxf>
      <font>
        <color auto="1"/>
      </font>
      <fill>
        <patternFill patternType="none">
          <bgColor indexed="65"/>
        </patternFill>
      </fill>
      <border>
        <left/>
        <right/>
        <top/>
        <bottom/>
      </border>
    </dxf>
    <dxf>
      <font>
        <b/>
        <i val="0"/>
        <color indexed="10"/>
      </font>
    </dxf>
    <dxf>
      <fill>
        <patternFill>
          <bgColor indexed="23"/>
        </patternFill>
      </fill>
      <border>
        <left/>
        <right/>
        <top/>
        <bottom/>
      </border>
    </dxf>
    <dxf>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border>
        <left style="hair"/>
        <right style="hair"/>
        <top style="hair"/>
        <bottom style="hair"/>
      </border>
    </dxf>
    <dxf>
      <border>
        <left style="hair"/>
        <right style="hair"/>
        <top style="hair"/>
        <bottom style="hair"/>
      </border>
    </dxf>
    <dxf>
      <border>
        <left style="hair"/>
        <right style="hair"/>
        <top style="hair"/>
        <bottom style="hair"/>
      </border>
    </dxf>
    <dxf>
      <font>
        <b/>
        <i val="0"/>
        <color indexed="10"/>
      </font>
      <border>
        <left style="hair"/>
        <right style="hair"/>
        <top style="hair"/>
        <bottom style="hair"/>
      </border>
    </dxf>
    <dxf>
      <font>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font>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border>
        <left/>
        <right/>
        <top/>
        <bottom/>
      </border>
    </dxf>
    <dxf>
      <font>
        <b/>
        <i val="0"/>
        <color indexed="10"/>
      </font>
    </dxf>
    <dxf>
      <fill>
        <patternFill>
          <bgColor indexed="47"/>
        </patternFill>
      </fill>
      <border>
        <left/>
        <right/>
        <top/>
        <bottom/>
      </border>
    </dxf>
    <dxf>
      <border>
        <left/>
        <right/>
        <top/>
        <bottom/>
      </border>
    </dxf>
    <dxf>
      <font>
        <b/>
        <i val="0"/>
        <color indexed="10"/>
      </font>
    </dxf>
    <dxf>
      <border>
        <left style="hair"/>
        <right style="hair"/>
        <top style="hair"/>
        <bottom style="hair"/>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font>
        <color indexed="9"/>
      </font>
      <fill>
        <patternFill patternType="none">
          <bgColor indexed="65"/>
        </patternFill>
      </fill>
      <border>
        <left/>
        <right/>
        <top/>
        <bottom/>
      </border>
    </dxf>
    <dxf>
      <border>
        <left/>
        <right/>
        <top/>
        <bottom/>
      </border>
    </dxf>
    <dxf>
      <font>
        <b/>
        <i val="0"/>
        <color indexed="10"/>
      </font>
    </dxf>
    <dxf>
      <font>
        <color indexed="42"/>
      </font>
      <border>
        <left/>
        <right/>
        <top/>
        <bottom/>
      </border>
    </dxf>
    <dxf>
      <font>
        <color indexed="47"/>
      </font>
      <border>
        <left/>
        <right/>
        <top/>
        <bottom/>
      </border>
    </dxf>
    <dxf>
      <font>
        <color indexed="9"/>
      </font>
      <border>
        <left/>
        <right/>
        <top/>
        <bottom/>
      </border>
    </dxf>
    <dxf>
      <font>
        <color indexed="9"/>
      </font>
    </dxf>
    <dxf>
      <border>
        <left/>
        <right/>
        <top/>
        <bottom/>
      </border>
    </dxf>
    <dxf>
      <font>
        <color indexed="44"/>
      </font>
      <border>
        <left/>
        <right/>
        <top/>
        <bottom/>
      </border>
    </dxf>
    <dxf>
      <border>
        <left/>
        <right/>
        <top/>
        <bottom/>
      </border>
    </dxf>
    <dxf>
      <font>
        <color indexed="9"/>
      </font>
      <fill>
        <patternFill patternType="none">
          <bgColor indexed="65"/>
        </patternFill>
      </fill>
      <border>
        <left/>
        <right/>
        <top/>
        <bottom/>
      </border>
    </dxf>
    <dxf>
      <font>
        <b/>
        <i val="0"/>
        <color indexed="10"/>
      </font>
    </dxf>
    <dxf>
      <font>
        <color indexed="44"/>
      </font>
      <border>
        <left/>
        <right/>
        <top/>
        <bottom/>
      </border>
    </dxf>
    <dxf>
      <font>
        <color indexed="42"/>
      </font>
      <border>
        <left/>
        <right/>
        <top/>
        <bottom/>
      </border>
    </dxf>
    <dxf>
      <font>
        <color indexed="47"/>
      </font>
      <border>
        <left/>
        <right/>
        <top/>
        <bottom/>
      </border>
    </dxf>
    <dxf>
      <font>
        <color indexed="9"/>
      </font>
      <border>
        <left/>
        <right/>
        <top/>
        <bottom/>
      </border>
    </dxf>
    <dxf>
      <font>
        <color indexed="9"/>
      </font>
    </dxf>
    <dxf>
      <border>
        <left/>
        <right/>
        <top/>
        <bottom/>
      </border>
    </dxf>
    <dxf>
      <font>
        <color indexed="9"/>
      </font>
      <fill>
        <patternFill patternType="none">
          <bgColor indexed="65"/>
        </patternFill>
      </fill>
      <border>
        <left/>
        <right/>
        <top/>
        <bottom/>
      </border>
    </dxf>
    <dxf>
      <border>
        <left/>
        <right/>
        <top/>
        <bottom/>
      </border>
    </dxf>
    <dxf>
      <border>
        <left/>
        <right/>
        <top/>
        <bottom/>
      </border>
    </dxf>
    <dxf>
      <font>
        <color indexed="9"/>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b/>
        <i val="0"/>
        <color indexed="10"/>
      </font>
    </dxf>
    <dxf>
      <font>
        <b/>
        <i val="0"/>
        <color auto="1"/>
      </font>
      <border>
        <left/>
        <right/>
        <top/>
        <bottom/>
      </border>
    </dxf>
    <dxf>
      <font>
        <b/>
        <i val="0"/>
        <color auto="1"/>
      </font>
      <border>
        <left/>
        <right/>
        <top/>
        <bottom/>
      </border>
    </dxf>
    <dxf>
      <fill>
        <patternFill patternType="none">
          <bgColor indexed="65"/>
        </patternFill>
      </fill>
      <border>
        <left>
          <color indexed="63"/>
        </left>
        <right style="hair"/>
        <top>
          <color indexed="63"/>
        </top>
        <bottom>
          <color indexed="63"/>
        </bottom>
      </border>
    </dxf>
    <dxf>
      <fill>
        <patternFill patternType="none">
          <bgColor indexed="65"/>
        </patternFill>
      </fill>
      <border>
        <left/>
        <right/>
        <top/>
        <bottom/>
      </border>
    </dxf>
    <dxf>
      <fill>
        <patternFill patternType="none">
          <bgColor indexed="65"/>
        </patternFill>
      </fill>
      <border>
        <left/>
        <right/>
        <top/>
        <bottom/>
      </border>
    </dxf>
    <dxf>
      <font>
        <b/>
        <i val="0"/>
        <color auto="1"/>
      </font>
      <border>
        <left/>
        <right/>
        <top/>
        <bottom/>
      </border>
    </dxf>
    <dxf>
      <font>
        <b/>
        <i val="0"/>
        <color auto="1"/>
      </font>
      <border>
        <left/>
        <right/>
        <top/>
        <bottom/>
      </border>
    </dxf>
    <dxf>
      <font>
        <b/>
        <i val="0"/>
        <color indexed="10"/>
      </font>
    </dxf>
    <dxf>
      <fill>
        <patternFill patternType="none">
          <bgColor indexed="65"/>
        </patternFill>
      </fill>
      <border>
        <left/>
        <right/>
        <top/>
        <bottom/>
      </border>
    </dxf>
    <dxf>
      <font>
        <b/>
        <i val="0"/>
        <color indexed="10"/>
      </font>
    </dxf>
    <dxf>
      <font>
        <b/>
        <i val="0"/>
        <color auto="1"/>
      </font>
      <border>
        <left/>
        <right/>
        <top/>
        <bottom/>
      </border>
    </dxf>
    <dxf>
      <font>
        <b/>
        <i val="0"/>
        <color auto="1"/>
      </font>
      <border>
        <left/>
        <right/>
        <top/>
        <bottom/>
      </border>
    </dxf>
    <dxf>
      <border>
        <left/>
        <right/>
        <top/>
        <bottom/>
      </border>
    </dxf>
    <dxf>
      <border>
        <left/>
        <right/>
        <top/>
        <bottom/>
      </border>
    </dxf>
    <dxf>
      <font>
        <b/>
        <i val="0"/>
        <color auto="1"/>
      </font>
      <border>
        <left/>
        <right/>
        <top/>
        <bottom/>
      </border>
    </dxf>
    <dxf>
      <font>
        <b/>
        <i val="0"/>
        <color indexed="10"/>
      </font>
    </dxf>
    <dxf>
      <font>
        <color indexed="47"/>
      </font>
      <fill>
        <patternFill>
          <bgColor indexed="47"/>
        </patternFill>
      </fill>
      <border>
        <left/>
        <right/>
        <top/>
        <bottom/>
      </border>
    </dxf>
    <dxf>
      <font>
        <b/>
        <i val="0"/>
        <color indexed="10"/>
      </font>
    </dxf>
    <dxf>
      <font>
        <color indexed="9"/>
      </font>
      <border>
        <left/>
        <right/>
        <top/>
        <bottom/>
      </border>
    </dxf>
    <dxf>
      <font>
        <color indexed="23"/>
      </font>
      <border>
        <left/>
        <right/>
        <top/>
        <bottom/>
      </border>
    </dxf>
    <dxf>
      <font>
        <color indexed="23"/>
      </font>
      <border>
        <left/>
        <right/>
        <top/>
        <bottom/>
      </border>
    </dxf>
    <dxf>
      <font>
        <color indexed="23"/>
      </font>
      <border>
        <left/>
        <right/>
        <top/>
        <bottom/>
      </border>
    </dxf>
    <dxf>
      <font>
        <b/>
        <i val="0"/>
        <color indexed="10"/>
      </font>
    </dxf>
    <dxf>
      <fill>
        <patternFill patternType="none">
          <bgColor indexed="65"/>
        </patternFill>
      </fill>
      <border>
        <left/>
        <right/>
        <top/>
        <bottom/>
      </border>
    </dxf>
    <dxf>
      <fill>
        <patternFill patternType="none">
          <bgColor indexed="65"/>
        </patternFill>
      </fill>
      <border>
        <left/>
        <right/>
        <top/>
        <bottom/>
      </border>
    </dxf>
    <dxf>
      <font>
        <b/>
        <i val="0"/>
        <color indexed="10"/>
      </font>
    </dxf>
    <dxf>
      <border>
        <left/>
        <right/>
        <top/>
        <bottom/>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bgColor indexed="9"/>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dxf>
    <dxf>
      <font>
        <b/>
        <i val="0"/>
        <color indexed="10"/>
      </font>
    </dxf>
    <dxf>
      <font>
        <color indexed="9"/>
      </font>
      <fill>
        <patternFill>
          <bgColor indexed="9"/>
        </patternFill>
      </fill>
      <border>
        <left/>
        <right/>
        <top/>
        <bottom/>
      </border>
    </dxf>
    <dxf>
      <font>
        <color indexed="9"/>
      </font>
    </dxf>
    <dxf>
      <font>
        <b/>
        <i val="0"/>
        <color indexed="10"/>
      </font>
    </dxf>
    <dxf>
      <font>
        <color indexed="9"/>
      </font>
      <fill>
        <patternFill>
          <bgColor indexed="9"/>
        </patternFill>
      </fill>
      <border>
        <left/>
        <right/>
        <top/>
        <bottom/>
      </border>
    </dxf>
    <dxf>
      <font>
        <color indexed="9"/>
      </font>
    </dxf>
    <dxf>
      <font>
        <b/>
        <i val="0"/>
        <color indexed="10"/>
      </font>
    </dxf>
    <dxf>
      <font>
        <color indexed="9"/>
      </font>
      <fill>
        <patternFill>
          <bgColor indexed="9"/>
        </patternFill>
      </fill>
      <border>
        <left/>
        <right/>
        <top/>
        <bottom/>
      </border>
    </dxf>
    <dxf>
      <font>
        <color indexed="9"/>
      </font>
    </dxf>
    <dxf>
      <font>
        <b/>
        <i val="0"/>
        <color indexed="10"/>
      </font>
    </dxf>
    <dxf>
      <font>
        <color indexed="9"/>
      </font>
      <fill>
        <patternFill>
          <bgColor indexed="9"/>
        </patternFill>
      </fill>
      <border>
        <left/>
        <right/>
        <top/>
        <bottom/>
      </border>
    </dxf>
    <dxf>
      <font>
        <color indexed="9"/>
      </font>
    </dxf>
    <dxf>
      <font>
        <b/>
        <i val="0"/>
        <color indexed="10"/>
      </font>
    </dxf>
    <dxf>
      <font>
        <color indexed="9"/>
      </font>
      <fill>
        <patternFill>
          <bgColor indexed="9"/>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b/>
        <i val="0"/>
        <color indexed="10"/>
      </font>
    </dxf>
    <dxf>
      <font>
        <color indexed="9"/>
      </font>
      <fill>
        <patternFill>
          <bgColor indexed="9"/>
        </patternFill>
      </fill>
      <border>
        <left/>
        <right/>
        <top/>
        <bottom/>
      </border>
    </dxf>
    <dxf>
      <font>
        <b/>
        <i val="0"/>
        <color indexed="10"/>
      </font>
    </dxf>
    <dxf>
      <font>
        <color indexed="9"/>
      </font>
      <fill>
        <patternFill>
          <bgColor indexed="9"/>
        </patternFill>
      </fill>
      <border>
        <left/>
        <right/>
        <top/>
        <bottom/>
      </border>
    </dxf>
    <dxf>
      <font>
        <b/>
        <i val="0"/>
        <color indexed="10"/>
      </font>
    </dxf>
    <dxf>
      <font>
        <color indexed="9"/>
      </font>
      <fill>
        <patternFill>
          <bgColor indexed="9"/>
        </patternFill>
      </fill>
      <border>
        <left/>
        <right/>
        <top/>
        <bottom/>
      </border>
    </dxf>
    <dxf>
      <font>
        <b/>
        <i val="0"/>
        <color indexed="10"/>
      </font>
    </dxf>
    <dxf>
      <font>
        <color indexed="9"/>
      </font>
      <fill>
        <patternFill>
          <bgColor indexed="9"/>
        </patternFill>
      </fill>
      <border>
        <left/>
        <right/>
        <top/>
        <bottom/>
      </border>
    </dxf>
    <dxf>
      <font>
        <b/>
        <i val="0"/>
        <color indexed="10"/>
      </font>
    </dxf>
    <dxf>
      <font>
        <color indexed="9"/>
      </font>
      <fill>
        <patternFill>
          <bgColor indexed="9"/>
        </patternFill>
      </fill>
      <border>
        <left/>
        <right/>
        <top/>
        <bottom/>
      </border>
    </dxf>
    <dxf>
      <font>
        <color indexed="9"/>
      </font>
      <fill>
        <patternFill patternType="none">
          <bgColor indexed="65"/>
        </patternFill>
      </fill>
      <border>
        <left/>
        <right/>
        <top/>
        <bottom/>
      </border>
    </dxf>
    <dxf>
      <fill>
        <patternFill patternType="none">
          <bgColor indexed="65"/>
        </patternFill>
      </fill>
      <border>
        <left>
          <color rgb="FF000000"/>
        </left>
        <right style="hair">
          <color rgb="FF000000"/>
        </right>
        <top>
          <color rgb="FF000000"/>
        </top>
        <bottom>
          <color rgb="FF000000"/>
        </bottom>
      </border>
    </dxf>
    <dxf>
      <font>
        <color rgb="FFFFFFFF"/>
      </font>
      <fill>
        <patternFill>
          <bgColor rgb="FF808080"/>
        </patternFill>
      </fill>
      <border>
        <left style="hair">
          <color rgb="FFFFFFFF"/>
        </left>
        <right style="hair">
          <color rgb="FFFFFFFF"/>
        </right>
        <top style="hair"/>
        <bottom style="hair">
          <color rgb="FFFFFFFF"/>
        </bottom>
      </border>
    </dxf>
    <dxf>
      <border>
        <left style="hair">
          <color rgb="FF000000"/>
        </left>
        <right style="hair">
          <color rgb="FF000000"/>
        </right>
        <top style="hair"/>
        <bottom style="hair">
          <color rgb="FF000000"/>
        </bottom>
      </border>
    </dxf>
    <dxf>
      <font>
        <b/>
        <i val="0"/>
        <color rgb="FFFF0000"/>
      </font>
      <border>
        <left style="hair">
          <color rgb="FF000000"/>
        </left>
        <right style="hair">
          <color rgb="FF000000"/>
        </right>
        <top style="hair"/>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C9D2"/>
      <rgbColor rgb="000000FF"/>
      <rgbColor rgb="009EB8C4"/>
      <rgbColor rgb="00FFFFCC"/>
      <rgbColor rgb="00CCDAE0"/>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BF1F3"/>
      <rgbColor rgb="00CCFFFF"/>
      <rgbColor rgb="00E8FBAD"/>
      <rgbColor rgb="00FFFF66"/>
      <rgbColor rgb="00CCCCFF"/>
      <rgbColor rgb="00FFFF99"/>
      <rgbColor rgb="00CC99FF"/>
      <rgbColor rgb="00FDEA97"/>
      <rgbColor rgb="003366FF"/>
      <rgbColor rgb="0033CCCC"/>
      <rgbColor rgb="00D5EBAD"/>
      <rgbColor rgb="00FFCC00"/>
      <rgbColor rgb="00FF9900"/>
      <rgbColor rgb="00FF6600"/>
      <rgbColor rgb="00666699"/>
      <rgbColor rgb="00C0C0C0"/>
      <rgbColor rgb="00003366"/>
      <rgbColor rgb="00339966"/>
      <rgbColor rgb="00003300"/>
      <rgbColor rgb="00333300"/>
      <rgbColor rgb="00CC66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95"/>
          <c:y val="0"/>
        </c:manualLayout>
      </c:layout>
      <c:spPr>
        <a:solidFill>
          <a:srgbClr val="FFFFFF"/>
        </a:solidFill>
        <a:ln w="3175">
          <a:solidFill>
            <a:srgbClr val="000000"/>
          </a:solidFill>
        </a:ln>
        <a:effectLst>
          <a:outerShdw dist="35921" dir="2700000" algn="br">
            <a:prstClr val="black"/>
          </a:outerShdw>
        </a:effectLst>
      </c:spPr>
      <c:txPr>
        <a:bodyPr vert="horz" rot="0"/>
        <a:lstStyle/>
        <a:p>
          <a:pPr>
            <a:defRPr lang="en-US" cap="none" sz="500" b="0" i="0" u="none" baseline="0">
              <a:solidFill>
                <a:srgbClr val="000000"/>
              </a:solidFill>
              <a:latin typeface="Arial"/>
              <a:ea typeface="Arial"/>
              <a:cs typeface="Arial"/>
            </a:defRPr>
          </a:pPr>
        </a:p>
      </c:txPr>
    </c:title>
    <c:plotArea>
      <c:layout>
        <c:manualLayout>
          <c:xMode val="edge"/>
          <c:yMode val="edge"/>
          <c:x val="0.0735"/>
          <c:y val="0.28075"/>
          <c:w val="0.853"/>
          <c:h val="0.6315"/>
        </c:manualLayout>
      </c:layout>
      <c:barChart>
        <c:barDir val="col"/>
        <c:grouping val="clustered"/>
        <c:varyColors val="0"/>
        <c:ser>
          <c:idx val="0"/>
          <c:order val="0"/>
          <c:tx>
            <c:strRef>
              <c:f>MKK1!$D$1</c:f>
              <c:strCache>
                <c:ptCount val="1"/>
                <c:pt idx="0">
                  <c:v>Standardtraktor - 45 KW</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00FF"/>
              </a:solidFill>
              <a:ln w="12700">
                <a:solidFill>
                  <a:srgbClr val="000000"/>
                </a:solidFill>
              </a:ln>
            </c:spPr>
          </c:dPt>
          <c:dPt>
            <c:idx val="5"/>
            <c:invertIfNegative val="0"/>
            <c:spPr>
              <a:solidFill>
                <a:srgbClr val="0000FF"/>
              </a:solidFill>
              <a:ln w="12700">
                <a:solidFill>
                  <a:srgbClr val="000000"/>
                </a:solidFill>
              </a:ln>
            </c:spPr>
          </c:dPt>
          <c:cat>
            <c:strRef>
              <c:f>(MKK1!$A$12:$A$15,MKK1!$A$19:$A$20)</c:f>
              <c:strCache/>
            </c:strRef>
          </c:cat>
          <c:val>
            <c:numRef>
              <c:f>(MKK1!$F$12:$F$15,MKK1!$F$19:$F$20)</c:f>
              <c:numCache/>
            </c:numRef>
          </c:val>
        </c:ser>
        <c:axId val="49618624"/>
        <c:axId val="43914433"/>
      </c:barChart>
      <c:catAx>
        <c:axId val="496186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crossAx val="43914433"/>
        <c:crosses val="autoZero"/>
        <c:auto val="1"/>
        <c:lblOffset val="100"/>
        <c:tickLblSkip val="1"/>
        <c:noMultiLvlLbl val="0"/>
      </c:catAx>
      <c:valAx>
        <c:axId val="439144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18624"/>
        <c:crossesAt val="1"/>
        <c:crossBetween val="between"/>
        <c:dispUnits/>
      </c:valAx>
      <c:spPr>
        <a:solidFill>
          <a:srgbClr val="FFFFFF"/>
        </a:solidFill>
        <a:ln w="3175">
          <a:noFill/>
        </a:ln>
      </c:spPr>
    </c:plotArea>
    <c:plotVisOnly val="1"/>
    <c:dispBlanksAs val="gap"/>
    <c:showDLblsOverMax val="0"/>
  </c:chart>
  <c:spPr>
    <a:solidFill>
      <a:srgbClr val="EBF1F3"/>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
        </c:manualLayout>
      </c:layout>
      <c:spPr>
        <a:solidFill>
          <a:srgbClr val="FFFFFF"/>
        </a:solidFill>
        <a:ln w="3175">
          <a:solidFill>
            <a:srgbClr val="000000"/>
          </a:solidFill>
        </a:ln>
        <a:effectLst>
          <a:outerShdw dist="35921" dir="2700000" algn="br">
            <a:prstClr val="black"/>
          </a:outerShdw>
        </a:effectLst>
      </c:spPr>
      <c:txPr>
        <a:bodyPr vert="horz" rot="0"/>
        <a:lstStyle/>
        <a:p>
          <a:pPr>
            <a:defRPr lang="en-US" cap="none" sz="500" b="0" i="0" u="none" baseline="0">
              <a:solidFill>
                <a:srgbClr val="000000"/>
              </a:solidFill>
              <a:latin typeface="Arial"/>
              <a:ea typeface="Arial"/>
              <a:cs typeface="Arial"/>
            </a:defRPr>
          </a:pPr>
        </a:p>
      </c:txPr>
    </c:title>
    <c:plotArea>
      <c:layout>
        <c:manualLayout>
          <c:xMode val="edge"/>
          <c:yMode val="edge"/>
          <c:x val="0.0735"/>
          <c:y val="0.28075"/>
          <c:w val="0.853"/>
          <c:h val="0.6315"/>
        </c:manualLayout>
      </c:layout>
      <c:barChart>
        <c:barDir val="col"/>
        <c:grouping val="clustered"/>
        <c:varyColors val="0"/>
        <c:ser>
          <c:idx val="0"/>
          <c:order val="0"/>
          <c:tx>
            <c:strRef>
              <c:f>MKK2!$D$1</c:f>
              <c:strCache>
                <c:ptCount val="1"/>
                <c:pt idx="0">
                  <c:v>Motormäher - 4 KW</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00FF"/>
              </a:solidFill>
              <a:ln w="12700">
                <a:solidFill>
                  <a:srgbClr val="000000"/>
                </a:solidFill>
              </a:ln>
            </c:spPr>
          </c:dPt>
          <c:dPt>
            <c:idx val="5"/>
            <c:invertIfNegative val="0"/>
            <c:spPr>
              <a:solidFill>
                <a:srgbClr val="0000FF"/>
              </a:solidFill>
              <a:ln w="12700">
                <a:solidFill>
                  <a:srgbClr val="000000"/>
                </a:solidFill>
              </a:ln>
            </c:spPr>
          </c:dPt>
          <c:cat>
            <c:strRef>
              <c:f>(MKK2!$A$12:$A$15,MKK2!$A$19:$A$20)</c:f>
              <c:strCache/>
            </c:strRef>
          </c:cat>
          <c:val>
            <c:numRef>
              <c:f>(MKK2!$F$12:$F$15,MKK2!$F$19:$F$20)</c:f>
              <c:numCache/>
            </c:numRef>
          </c:val>
        </c:ser>
        <c:axId val="59685578"/>
        <c:axId val="299291"/>
      </c:barChart>
      <c:catAx>
        <c:axId val="5968557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crossAx val="299291"/>
        <c:crosses val="autoZero"/>
        <c:auto val="1"/>
        <c:lblOffset val="100"/>
        <c:tickLblSkip val="1"/>
        <c:noMultiLvlLbl val="0"/>
      </c:catAx>
      <c:valAx>
        <c:axId val="2992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685578"/>
        <c:crossesAt val="1"/>
        <c:crossBetween val="between"/>
        <c:dispUnits/>
      </c:valAx>
      <c:spPr>
        <a:solidFill>
          <a:srgbClr val="FFFFFF"/>
        </a:solidFill>
        <a:ln w="3175">
          <a:noFill/>
        </a:ln>
      </c:spPr>
    </c:plotArea>
    <c:plotVisOnly val="1"/>
    <c:dispBlanksAs val="gap"/>
    <c:showDLblsOverMax val="0"/>
  </c:chart>
  <c:spPr>
    <a:solidFill>
      <a:srgbClr val="EBF1F3"/>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Berechnung!E6" /><Relationship Id="rId2" Type="http://schemas.openxmlformats.org/officeDocument/2006/relationships/hyperlink" Target="#Berechnung!E6"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0</xdr:colOff>
      <xdr:row>13</xdr:row>
      <xdr:rowOff>19050</xdr:rowOff>
    </xdr:from>
    <xdr:to>
      <xdr:col>255</xdr:col>
      <xdr:colOff>0</xdr:colOff>
      <xdr:row>14</xdr:row>
      <xdr:rowOff>76200</xdr:rowOff>
    </xdr:to>
    <xdr:grpSp>
      <xdr:nvGrpSpPr>
        <xdr:cNvPr id="1" name="Group 1">
          <a:hlinkClick r:id="rId1"/>
        </xdr:cNvPr>
        <xdr:cNvGrpSpPr>
          <a:grpSpLocks/>
        </xdr:cNvGrpSpPr>
      </xdr:nvGrpSpPr>
      <xdr:grpSpPr>
        <a:xfrm>
          <a:off x="6419850" y="2447925"/>
          <a:ext cx="0" cy="0"/>
          <a:chOff x="690" y="221"/>
          <a:chExt cx="94" cy="19"/>
        </a:xfrm>
        <a:solidFill>
          <a:srgbClr val="FFFFFF"/>
        </a:solidFill>
      </xdr:grpSpPr>
      <xdr:sp>
        <xdr:nvSpPr>
          <xdr:cNvPr id="2" name="Rectangle 2"/>
          <xdr:cNvSpPr>
            <a:spLocks/>
          </xdr:cNvSpPr>
        </xdr:nvSpPr>
        <xdr:spPr>
          <a:xfrm>
            <a:off x="690" y="221"/>
            <a:ext cx="94" cy="19"/>
          </a:xfrm>
          <a:prstGeom prst="rect">
            <a:avLst/>
          </a:prstGeom>
          <a:solidFill>
            <a:srgbClr val="FF0000"/>
          </a:solidFill>
          <a:ln w="63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6419850" y="2447925"/>
            <a:ext cx="0" cy="0"/>
          </a:xfrm>
          <a:prstGeom prst="rect">
            <a:avLst/>
          </a:prstGeom>
          <a:noFill/>
          <a:ln w="6350" cmpd="sng">
            <a:noFill/>
          </a:ln>
        </xdr:spPr>
        <xdr:txBody>
          <a:bodyPr vertOverflow="clip" wrap="square" lIns="0" tIns="0" rIns="0" bIns="0" anchor="ctr"/>
          <a:p>
            <a:pPr algn="ctr">
              <a:defRPr/>
            </a:pPr>
            <a:r>
              <a:rPr lang="en-US" cap="none" sz="800" b="1" i="0" u="none" baseline="0">
                <a:solidFill>
                  <a:srgbClr val="FFFFFF"/>
                </a:solidFill>
                <a:latin typeface="Wingdings 3"/>
                <a:ea typeface="Wingdings 3"/>
                <a:cs typeface="Wingdings 3"/>
              </a:rPr>
              <a:t>t</a:t>
            </a:r>
            <a:r>
              <a:rPr lang="en-US" cap="none" sz="800" b="1" i="0" u="none" baseline="0">
                <a:solidFill>
                  <a:srgbClr val="FFFFFF"/>
                </a:solidFill>
                <a:latin typeface="Arial"/>
                <a:ea typeface="Arial"/>
                <a:cs typeface="Arial"/>
              </a:rPr>
              <a:t> DB/VK ges.</a:t>
            </a:r>
          </a:p>
        </xdr:txBody>
      </xdr:sp>
      <xdr:sp>
        <xdr:nvSpPr>
          <xdr:cNvPr id="4" name="Freeform 4"/>
          <xdr:cNvSpPr>
            <a:spLocks/>
          </xdr:cNvSpPr>
        </xdr:nvSpPr>
        <xdr:spPr>
          <a:xfrm>
            <a:off x="690" y="221"/>
            <a:ext cx="94" cy="19"/>
          </a:xfrm>
          <a:custGeom>
            <a:pathLst>
              <a:path h="28" w="62">
                <a:moveTo>
                  <a:pt x="0" y="28"/>
                </a:moveTo>
                <a:lnTo>
                  <a:pt x="0" y="0"/>
                </a:lnTo>
                <a:lnTo>
                  <a:pt x="62" y="0"/>
                </a:lnTo>
              </a:path>
            </a:pathLst>
          </a:custGeom>
          <a:noFill/>
          <a:ln w="63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255</xdr:col>
      <xdr:colOff>0</xdr:colOff>
      <xdr:row>818</xdr:row>
      <xdr:rowOff>19050</xdr:rowOff>
    </xdr:from>
    <xdr:to>
      <xdr:col>255</xdr:col>
      <xdr:colOff>0</xdr:colOff>
      <xdr:row>819</xdr:row>
      <xdr:rowOff>76200</xdr:rowOff>
    </xdr:to>
    <xdr:grpSp>
      <xdr:nvGrpSpPr>
        <xdr:cNvPr id="5" name="Group 5">
          <a:hlinkClick r:id="rId2"/>
        </xdr:cNvPr>
        <xdr:cNvGrpSpPr>
          <a:grpSpLocks/>
        </xdr:cNvGrpSpPr>
      </xdr:nvGrpSpPr>
      <xdr:grpSpPr>
        <a:xfrm>
          <a:off x="6419850" y="58645425"/>
          <a:ext cx="0" cy="219075"/>
          <a:chOff x="690" y="221"/>
          <a:chExt cx="94" cy="19"/>
        </a:xfrm>
        <a:solidFill>
          <a:srgbClr val="FFFFFF"/>
        </a:solidFill>
      </xdr:grpSpPr>
      <xdr:sp>
        <xdr:nvSpPr>
          <xdr:cNvPr id="6" name="Rectangle 6"/>
          <xdr:cNvSpPr>
            <a:spLocks/>
          </xdr:cNvSpPr>
        </xdr:nvSpPr>
        <xdr:spPr>
          <a:xfrm>
            <a:off x="690" y="221"/>
            <a:ext cx="94" cy="19"/>
          </a:xfrm>
          <a:prstGeom prst="rect">
            <a:avLst/>
          </a:prstGeom>
          <a:solidFill>
            <a:srgbClr val="FF0000"/>
          </a:solidFill>
          <a:ln w="63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7"/>
          <xdr:cNvSpPr txBox="1">
            <a:spLocks noChangeArrowheads="1"/>
          </xdr:cNvSpPr>
        </xdr:nvSpPr>
        <xdr:spPr>
          <a:xfrm>
            <a:off x="6419850" y="-10200325"/>
            <a:ext cx="0" cy="17"/>
          </a:xfrm>
          <a:prstGeom prst="rect">
            <a:avLst/>
          </a:prstGeom>
          <a:noFill/>
          <a:ln w="6350" cmpd="sng">
            <a:noFill/>
          </a:ln>
        </xdr:spPr>
        <xdr:txBody>
          <a:bodyPr vertOverflow="clip" wrap="square" lIns="0" tIns="0" rIns="0" bIns="0" anchor="ctr"/>
          <a:p>
            <a:pPr algn="ctr">
              <a:defRPr/>
            </a:pPr>
            <a:r>
              <a:rPr lang="en-US" cap="none" sz="800" b="1" i="0" u="none" baseline="0">
                <a:solidFill>
                  <a:srgbClr val="FFFFFF"/>
                </a:solidFill>
                <a:latin typeface="Wingdings 3"/>
                <a:ea typeface="Wingdings 3"/>
                <a:cs typeface="Wingdings 3"/>
              </a:rPr>
              <a:t>t</a:t>
            </a:r>
            <a:r>
              <a:rPr lang="en-US" cap="none" sz="800" b="1" i="0" u="none" baseline="0">
                <a:solidFill>
                  <a:srgbClr val="FFFFFF"/>
                </a:solidFill>
                <a:latin typeface="Arial"/>
                <a:ea typeface="Arial"/>
                <a:cs typeface="Arial"/>
              </a:rPr>
              <a:t> DB/VK ges.</a:t>
            </a:r>
          </a:p>
        </xdr:txBody>
      </xdr:sp>
      <xdr:sp>
        <xdr:nvSpPr>
          <xdr:cNvPr id="8" name="Freeform 8"/>
          <xdr:cNvSpPr>
            <a:spLocks/>
          </xdr:cNvSpPr>
        </xdr:nvSpPr>
        <xdr:spPr>
          <a:xfrm>
            <a:off x="690" y="221"/>
            <a:ext cx="94" cy="19"/>
          </a:xfrm>
          <a:custGeom>
            <a:pathLst>
              <a:path h="28" w="62">
                <a:moveTo>
                  <a:pt x="0" y="28"/>
                </a:moveTo>
                <a:lnTo>
                  <a:pt x="0" y="0"/>
                </a:lnTo>
                <a:lnTo>
                  <a:pt x="62" y="0"/>
                </a:lnTo>
              </a:path>
            </a:pathLst>
          </a:custGeom>
          <a:noFill/>
          <a:ln w="6350" cmpd="sng">
            <a:solidFill>
              <a:srgbClr val="EAEAEA"/>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xdr:col>
      <xdr:colOff>0</xdr:colOff>
      <xdr:row>0</xdr:row>
      <xdr:rowOff>95250</xdr:rowOff>
    </xdr:to>
    <xdr:sp>
      <xdr:nvSpPr>
        <xdr:cNvPr id="1" name="AutoShape 2"/>
        <xdr:cNvSpPr>
          <a:spLocks/>
        </xdr:cNvSpPr>
      </xdr:nvSpPr>
      <xdr:spPr>
        <a:xfrm rot="10800000">
          <a:off x="38100" y="9525"/>
          <a:ext cx="142875"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xdr:col>
      <xdr:colOff>0</xdr:colOff>
      <xdr:row>0</xdr:row>
      <xdr:rowOff>95250</xdr:rowOff>
    </xdr:to>
    <xdr:sp>
      <xdr:nvSpPr>
        <xdr:cNvPr id="1" name="AutoShape 1"/>
        <xdr:cNvSpPr>
          <a:spLocks/>
        </xdr:cNvSpPr>
      </xdr:nvSpPr>
      <xdr:spPr>
        <a:xfrm rot="10800000">
          <a:off x="38100" y="9525"/>
          <a:ext cx="142875"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xdr:col>
      <xdr:colOff>0</xdr:colOff>
      <xdr:row>0</xdr:row>
      <xdr:rowOff>95250</xdr:rowOff>
    </xdr:to>
    <xdr:sp>
      <xdr:nvSpPr>
        <xdr:cNvPr id="1" name="AutoShape 1"/>
        <xdr:cNvSpPr>
          <a:spLocks/>
        </xdr:cNvSpPr>
      </xdr:nvSpPr>
      <xdr:spPr>
        <a:xfrm rot="10800000">
          <a:off x="38100" y="9525"/>
          <a:ext cx="142875"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0</xdr:col>
      <xdr:colOff>114300</xdr:colOff>
      <xdr:row>0</xdr:row>
      <xdr:rowOff>85725</xdr:rowOff>
    </xdr:to>
    <xdr:sp>
      <xdr:nvSpPr>
        <xdr:cNvPr id="1" name="AutoShape 4"/>
        <xdr:cNvSpPr>
          <a:spLocks/>
        </xdr:cNvSpPr>
      </xdr:nvSpPr>
      <xdr:spPr>
        <a:xfrm rot="10800000">
          <a:off x="142875" y="0"/>
          <a:ext cx="0"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0</xdr:rowOff>
    </xdr:from>
    <xdr:to>
      <xdr:col>6</xdr:col>
      <xdr:colOff>0</xdr:colOff>
      <xdr:row>9</xdr:row>
      <xdr:rowOff>0</xdr:rowOff>
    </xdr:to>
    <xdr:graphicFrame>
      <xdr:nvGraphicFramePr>
        <xdr:cNvPr id="2" name="Diagramm 5"/>
        <xdr:cNvGraphicFramePr/>
      </xdr:nvGraphicFramePr>
      <xdr:xfrm>
        <a:off x="3371850" y="752475"/>
        <a:ext cx="1381125" cy="11715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0</xdr:col>
      <xdr:colOff>114300</xdr:colOff>
      <xdr:row>0</xdr:row>
      <xdr:rowOff>85725</xdr:rowOff>
    </xdr:to>
    <xdr:sp>
      <xdr:nvSpPr>
        <xdr:cNvPr id="1" name="AutoShape 4"/>
        <xdr:cNvSpPr>
          <a:spLocks/>
        </xdr:cNvSpPr>
      </xdr:nvSpPr>
      <xdr:spPr>
        <a:xfrm rot="10800000">
          <a:off x="142875" y="0"/>
          <a:ext cx="0"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0</xdr:row>
      <xdr:rowOff>0</xdr:rowOff>
    </xdr:from>
    <xdr:to>
      <xdr:col>0</xdr:col>
      <xdr:colOff>114300</xdr:colOff>
      <xdr:row>0</xdr:row>
      <xdr:rowOff>85725</xdr:rowOff>
    </xdr:to>
    <xdr:sp>
      <xdr:nvSpPr>
        <xdr:cNvPr id="2" name="AutoShape 5"/>
        <xdr:cNvSpPr>
          <a:spLocks/>
        </xdr:cNvSpPr>
      </xdr:nvSpPr>
      <xdr:spPr>
        <a:xfrm rot="10800000">
          <a:off x="142875" y="0"/>
          <a:ext cx="0"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0</xdr:rowOff>
    </xdr:from>
    <xdr:to>
      <xdr:col>6</xdr:col>
      <xdr:colOff>0</xdr:colOff>
      <xdr:row>9</xdr:row>
      <xdr:rowOff>0</xdr:rowOff>
    </xdr:to>
    <xdr:graphicFrame>
      <xdr:nvGraphicFramePr>
        <xdr:cNvPr id="3" name="Diagramm 7"/>
        <xdr:cNvGraphicFramePr/>
      </xdr:nvGraphicFramePr>
      <xdr:xfrm>
        <a:off x="3371850" y="752475"/>
        <a:ext cx="1381125" cy="1171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xdr:col>
      <xdr:colOff>0</xdr:colOff>
      <xdr:row>0</xdr:row>
      <xdr:rowOff>95250</xdr:rowOff>
    </xdr:to>
    <xdr:sp>
      <xdr:nvSpPr>
        <xdr:cNvPr id="1" name="AutoShape 1"/>
        <xdr:cNvSpPr>
          <a:spLocks/>
        </xdr:cNvSpPr>
      </xdr:nvSpPr>
      <xdr:spPr>
        <a:xfrm rot="10800000">
          <a:off x="38100" y="9525"/>
          <a:ext cx="142875"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xdr:col>
      <xdr:colOff>0</xdr:colOff>
      <xdr:row>0</xdr:row>
      <xdr:rowOff>95250</xdr:rowOff>
    </xdr:to>
    <xdr:sp>
      <xdr:nvSpPr>
        <xdr:cNvPr id="1" name="AutoShape 2"/>
        <xdr:cNvSpPr>
          <a:spLocks/>
        </xdr:cNvSpPr>
      </xdr:nvSpPr>
      <xdr:spPr>
        <a:xfrm rot="10800000">
          <a:off x="38100" y="9525"/>
          <a:ext cx="142875"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xdr:col>
      <xdr:colOff>0</xdr:colOff>
      <xdr:row>0</xdr:row>
      <xdr:rowOff>95250</xdr:rowOff>
    </xdr:to>
    <xdr:sp>
      <xdr:nvSpPr>
        <xdr:cNvPr id="1" name="AutoShape 2"/>
        <xdr:cNvSpPr>
          <a:spLocks/>
        </xdr:cNvSpPr>
      </xdr:nvSpPr>
      <xdr:spPr>
        <a:xfrm rot="10800000">
          <a:off x="38100" y="9525"/>
          <a:ext cx="76200"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Rectangle 1"/>
        <xdr:cNvSpPr>
          <a:spLocks/>
        </xdr:cNvSpPr>
      </xdr:nvSpPr>
      <xdr:spPr>
        <a:xfrm>
          <a:off x="0" y="16954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161925</xdr:rowOff>
    </xdr:from>
    <xdr:to>
      <xdr:col>0</xdr:col>
      <xdr:colOff>0</xdr:colOff>
      <xdr:row>8</xdr:row>
      <xdr:rowOff>161925</xdr:rowOff>
    </xdr:to>
    <xdr:sp>
      <xdr:nvSpPr>
        <xdr:cNvPr id="2" name="Rectangle 2"/>
        <xdr:cNvSpPr>
          <a:spLocks/>
        </xdr:cNvSpPr>
      </xdr:nvSpPr>
      <xdr:spPr>
        <a:xfrm>
          <a:off x="0" y="1695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0</xdr:col>
      <xdr:colOff>0</xdr:colOff>
      <xdr:row>9</xdr:row>
      <xdr:rowOff>0</xdr:rowOff>
    </xdr:to>
    <xdr:sp>
      <xdr:nvSpPr>
        <xdr:cNvPr id="3" name="Rectangle 3"/>
        <xdr:cNvSpPr>
          <a:spLocks/>
        </xdr:cNvSpPr>
      </xdr:nvSpPr>
      <xdr:spPr>
        <a:xfrm>
          <a:off x="0" y="16954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161925</xdr:rowOff>
    </xdr:from>
    <xdr:to>
      <xdr:col>0</xdr:col>
      <xdr:colOff>0</xdr:colOff>
      <xdr:row>8</xdr:row>
      <xdr:rowOff>161925</xdr:rowOff>
    </xdr:to>
    <xdr:sp>
      <xdr:nvSpPr>
        <xdr:cNvPr id="4" name="Rectangle 4"/>
        <xdr:cNvSpPr>
          <a:spLocks/>
        </xdr:cNvSpPr>
      </xdr:nvSpPr>
      <xdr:spPr>
        <a:xfrm>
          <a:off x="0" y="1695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161925</xdr:rowOff>
    </xdr:from>
    <xdr:to>
      <xdr:col>8</xdr:col>
      <xdr:colOff>0</xdr:colOff>
      <xdr:row>6</xdr:row>
      <xdr:rowOff>161925</xdr:rowOff>
    </xdr:to>
    <xdr:sp>
      <xdr:nvSpPr>
        <xdr:cNvPr id="5" name="Rectangle 5"/>
        <xdr:cNvSpPr>
          <a:spLocks/>
        </xdr:cNvSpPr>
      </xdr:nvSpPr>
      <xdr:spPr>
        <a:xfrm>
          <a:off x="3124200" y="1371600"/>
          <a:ext cx="2657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161925</xdr:rowOff>
    </xdr:from>
    <xdr:to>
      <xdr:col>8</xdr:col>
      <xdr:colOff>0</xdr:colOff>
      <xdr:row>6</xdr:row>
      <xdr:rowOff>161925</xdr:rowOff>
    </xdr:to>
    <xdr:sp>
      <xdr:nvSpPr>
        <xdr:cNvPr id="6" name="Rectangle 6"/>
        <xdr:cNvSpPr>
          <a:spLocks/>
        </xdr:cNvSpPr>
      </xdr:nvSpPr>
      <xdr:spPr>
        <a:xfrm>
          <a:off x="3124200" y="1371600"/>
          <a:ext cx="2657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0</xdr:row>
      <xdr:rowOff>9525</xdr:rowOff>
    </xdr:from>
    <xdr:to>
      <xdr:col>1</xdr:col>
      <xdr:colOff>9525</xdr:colOff>
      <xdr:row>0</xdr:row>
      <xdr:rowOff>95250</xdr:rowOff>
    </xdr:to>
    <xdr:sp>
      <xdr:nvSpPr>
        <xdr:cNvPr id="7" name="AutoShape 8"/>
        <xdr:cNvSpPr>
          <a:spLocks/>
        </xdr:cNvSpPr>
      </xdr:nvSpPr>
      <xdr:spPr>
        <a:xfrm rot="10800000">
          <a:off x="114300" y="9525"/>
          <a:ext cx="76200"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0</xdr:colOff>
      <xdr:row>0</xdr:row>
      <xdr:rowOff>95250</xdr:rowOff>
    </xdr:to>
    <xdr:sp>
      <xdr:nvSpPr>
        <xdr:cNvPr id="1" name="AutoShape 1"/>
        <xdr:cNvSpPr>
          <a:spLocks/>
        </xdr:cNvSpPr>
      </xdr:nvSpPr>
      <xdr:spPr>
        <a:xfrm rot="10800000">
          <a:off x="28575" y="9525"/>
          <a:ext cx="152400"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0</xdr:colOff>
      <xdr:row>0</xdr:row>
      <xdr:rowOff>95250</xdr:rowOff>
    </xdr:to>
    <xdr:sp>
      <xdr:nvSpPr>
        <xdr:cNvPr id="1" name="AutoShape 1"/>
        <xdr:cNvSpPr>
          <a:spLocks/>
        </xdr:cNvSpPr>
      </xdr:nvSpPr>
      <xdr:spPr>
        <a:xfrm rot="10800000">
          <a:off x="28575" y="9525"/>
          <a:ext cx="152400"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0</xdr:colOff>
      <xdr:row>0</xdr:row>
      <xdr:rowOff>95250</xdr:rowOff>
    </xdr:to>
    <xdr:sp>
      <xdr:nvSpPr>
        <xdr:cNvPr id="1" name="AutoShape 1"/>
        <xdr:cNvSpPr>
          <a:spLocks/>
        </xdr:cNvSpPr>
      </xdr:nvSpPr>
      <xdr:spPr>
        <a:xfrm rot="10800000">
          <a:off x="28575" y="9525"/>
          <a:ext cx="123825"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xdr:col>
      <xdr:colOff>9525</xdr:colOff>
      <xdr:row>0</xdr:row>
      <xdr:rowOff>95250</xdr:rowOff>
    </xdr:to>
    <xdr:sp>
      <xdr:nvSpPr>
        <xdr:cNvPr id="1" name="AutoShape 2"/>
        <xdr:cNvSpPr>
          <a:spLocks/>
        </xdr:cNvSpPr>
      </xdr:nvSpPr>
      <xdr:spPr>
        <a:xfrm rot="10800000">
          <a:off x="85725" y="9525"/>
          <a:ext cx="76200" cy="857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z005-lb\lla-imst%20(e)\03%20Wirtschaftsrechnen%20-%20HFS%203\02%20SP%20Sozial%20-%20HFS%203b\04%20excel-berechnungen\abschlusspr&#252;fung\&#252;-bsp%202006\uebsp%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ebsp2%20plare%20-%20sozi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 Allg"/>
      <sheetName val="D - Ist"/>
      <sheetName val="D - Plan"/>
      <sheetName val="D - Milch"/>
      <sheetName val="D - MuKu"/>
      <sheetName val="D - WD.ILeist"/>
      <sheetName val="D - ILeist"/>
      <sheetName val="D - MKK1"/>
      <sheetName val="D - MKK2"/>
      <sheetName val="D - Jog"/>
      <sheetName val="D - FK"/>
      <sheetName val="D - AV"/>
      <sheetName val="D - UV"/>
      <sheetName val="E - ErgInt"/>
      <sheetName val="E - Ist"/>
      <sheetName val="E - Plan"/>
      <sheetName val="E - Fin"/>
      <sheetName val="E - Milch"/>
      <sheetName val="E - MuKu"/>
      <sheetName val="E - WD.ILeist"/>
      <sheetName val="E - ILeist"/>
      <sheetName val="E - MKK1"/>
      <sheetName val="E - MKK2"/>
      <sheetName val="E - Jog"/>
      <sheetName val="E - FK"/>
      <sheetName val="E - UV"/>
      <sheetName val="E - AV"/>
      <sheetName val="D - Geb"/>
      <sheetName val="E - Geb"/>
    </sheetNames>
    <sheetDataSet>
      <sheetData sheetId="5">
        <row r="92">
          <cell r="R92" t="str">
            <v>L1</v>
          </cell>
          <cell r="S92" t="str">
            <v>x</v>
          </cell>
          <cell r="T92" t="str">
            <v>KW</v>
          </cell>
          <cell r="U92" t="str">
            <v>Standardtraktor</v>
          </cell>
          <cell r="V92">
            <v>45</v>
          </cell>
          <cell r="W92" t="str">
            <v>45 KW</v>
          </cell>
          <cell r="X92">
            <v>10.288</v>
          </cell>
        </row>
        <row r="93">
          <cell r="R93" t="str">
            <v>L2</v>
          </cell>
          <cell r="S93" t="str">
            <v>x</v>
          </cell>
          <cell r="T93" t="str">
            <v>m</v>
          </cell>
          <cell r="U93" t="str">
            <v>Frontlader</v>
          </cell>
          <cell r="V93">
            <v>1.4</v>
          </cell>
          <cell r="W93" t="str">
            <v>1,4 m</v>
          </cell>
          <cell r="X93">
            <v>0.52</v>
          </cell>
        </row>
        <row r="94">
          <cell r="R94" t="str">
            <v/>
          </cell>
          <cell r="S94" t="str">
            <v/>
          </cell>
          <cell r="T94" t="str">
            <v>KW</v>
          </cell>
          <cell r="U94" t="str">
            <v>Standardtraktor</v>
          </cell>
          <cell r="V94">
            <v>45</v>
          </cell>
          <cell r="W94" t="str">
            <v>45 KW</v>
          </cell>
          <cell r="X94">
            <v>10.288</v>
          </cell>
        </row>
        <row r="95">
          <cell r="R95" t="str">
            <v/>
          </cell>
          <cell r="S95" t="str">
            <v/>
          </cell>
          <cell r="T95" t="str">
            <v>t</v>
          </cell>
          <cell r="U95" t="str">
            <v>Miststreuer</v>
          </cell>
          <cell r="V95">
            <v>2.5</v>
          </cell>
          <cell r="W95" t="str">
            <v>2,5 t</v>
          </cell>
          <cell r="X95">
            <v>2.14</v>
          </cell>
        </row>
        <row r="96">
          <cell r="R96" t="str">
            <v/>
          </cell>
          <cell r="S96" t="str">
            <v/>
          </cell>
          <cell r="T96" t="str">
            <v/>
          </cell>
          <cell r="U96" t="str">
            <v/>
          </cell>
          <cell r="V96" t="str">
            <v/>
          </cell>
          <cell r="W96" t="str">
            <v> </v>
          </cell>
          <cell r="X96" t="str">
            <v/>
          </cell>
        </row>
        <row r="97">
          <cell r="R97" t="str">
            <v/>
          </cell>
          <cell r="S97" t="str">
            <v/>
          </cell>
          <cell r="T97" t="str">
            <v/>
          </cell>
          <cell r="U97" t="str">
            <v/>
          </cell>
          <cell r="V97" t="str">
            <v/>
          </cell>
          <cell r="W97" t="str">
            <v> </v>
          </cell>
          <cell r="X97" t="str">
            <v/>
          </cell>
        </row>
        <row r="100">
          <cell r="R100" t="str">
            <v/>
          </cell>
          <cell r="S100" t="str">
            <v/>
          </cell>
          <cell r="T100" t="str">
            <v>KW</v>
          </cell>
          <cell r="U100" t="str">
            <v>Standardtraktor</v>
          </cell>
          <cell r="V100">
            <v>45</v>
          </cell>
          <cell r="W100" t="str">
            <v>45 KW</v>
          </cell>
          <cell r="X100">
            <v>10.288</v>
          </cell>
        </row>
        <row r="101">
          <cell r="R101" t="str">
            <v/>
          </cell>
          <cell r="S101" t="str">
            <v/>
          </cell>
          <cell r="T101" t="str">
            <v>m</v>
          </cell>
          <cell r="U101" t="str">
            <v>Frontlader</v>
          </cell>
          <cell r="V101">
            <v>1.4</v>
          </cell>
          <cell r="W101" t="str">
            <v>1,4 m</v>
          </cell>
          <cell r="X101">
            <v>0.52</v>
          </cell>
        </row>
        <row r="102">
          <cell r="R102" t="str">
            <v>T1</v>
          </cell>
          <cell r="S102" t="str">
            <v>x</v>
          </cell>
          <cell r="T102" t="str">
            <v>KW</v>
          </cell>
          <cell r="U102" t="str">
            <v>Standardtraktor</v>
          </cell>
          <cell r="V102">
            <v>45</v>
          </cell>
          <cell r="W102" t="str">
            <v>45 KW</v>
          </cell>
          <cell r="X102">
            <v>10.288</v>
          </cell>
        </row>
        <row r="103">
          <cell r="R103" t="str">
            <v>T2</v>
          </cell>
          <cell r="S103" t="str">
            <v>x</v>
          </cell>
          <cell r="T103" t="str">
            <v>t</v>
          </cell>
          <cell r="U103" t="str">
            <v>Miststreuer</v>
          </cell>
          <cell r="V103">
            <v>2.5</v>
          </cell>
          <cell r="W103" t="str">
            <v>2,5 t</v>
          </cell>
          <cell r="X103">
            <v>2.14</v>
          </cell>
        </row>
        <row r="104">
          <cell r="R104" t="str">
            <v/>
          </cell>
          <cell r="S104" t="str">
            <v/>
          </cell>
          <cell r="T104" t="str">
            <v/>
          </cell>
          <cell r="U104" t="str">
            <v/>
          </cell>
          <cell r="V104" t="str">
            <v/>
          </cell>
          <cell r="W104" t="str">
            <v> </v>
          </cell>
          <cell r="X104" t="str">
            <v/>
          </cell>
        </row>
        <row r="105">
          <cell r="R105" t="str">
            <v/>
          </cell>
          <cell r="S105" t="str">
            <v/>
          </cell>
          <cell r="T105" t="str">
            <v/>
          </cell>
          <cell r="U105" t="str">
            <v/>
          </cell>
          <cell r="V105" t="str">
            <v/>
          </cell>
          <cell r="W105" t="str">
            <v> </v>
          </cell>
          <cell r="X105" t="str">
            <v/>
          </cell>
        </row>
        <row r="108">
          <cell r="R108" t="str">
            <v/>
          </cell>
          <cell r="S108" t="str">
            <v/>
          </cell>
          <cell r="T108" t="str">
            <v>KW</v>
          </cell>
          <cell r="U108" t="str">
            <v>Standardtraktor</v>
          </cell>
          <cell r="V108">
            <v>45</v>
          </cell>
          <cell r="W108" t="str">
            <v>45 KW</v>
          </cell>
          <cell r="X108">
            <v>10.288</v>
          </cell>
        </row>
        <row r="109">
          <cell r="R109" t="str">
            <v/>
          </cell>
          <cell r="S109" t="str">
            <v/>
          </cell>
          <cell r="T109" t="str">
            <v>m</v>
          </cell>
          <cell r="U109" t="str">
            <v>Frontlader</v>
          </cell>
          <cell r="V109">
            <v>1.4</v>
          </cell>
          <cell r="W109" t="str">
            <v>1,4 m</v>
          </cell>
          <cell r="X109">
            <v>0.52</v>
          </cell>
        </row>
        <row r="110">
          <cell r="R110" t="str">
            <v>A1</v>
          </cell>
          <cell r="S110" t="str">
            <v>x</v>
          </cell>
          <cell r="T110" t="str">
            <v>KW</v>
          </cell>
          <cell r="U110" t="str">
            <v>Standardtraktor</v>
          </cell>
          <cell r="V110">
            <v>45</v>
          </cell>
          <cell r="W110" t="str">
            <v>45 KW</v>
          </cell>
          <cell r="X110">
            <v>10.288</v>
          </cell>
        </row>
        <row r="111">
          <cell r="R111" t="str">
            <v>A2</v>
          </cell>
          <cell r="S111" t="str">
            <v>x</v>
          </cell>
          <cell r="T111" t="str">
            <v>t</v>
          </cell>
          <cell r="U111" t="str">
            <v>Miststreuer</v>
          </cell>
          <cell r="V111">
            <v>2.5</v>
          </cell>
          <cell r="W111" t="str">
            <v>2,5 t</v>
          </cell>
          <cell r="X111">
            <v>2.14</v>
          </cell>
        </row>
        <row r="112">
          <cell r="R112" t="str">
            <v/>
          </cell>
          <cell r="S112" t="str">
            <v/>
          </cell>
          <cell r="T112" t="str">
            <v/>
          </cell>
          <cell r="U112" t="str">
            <v/>
          </cell>
          <cell r="V112" t="str">
            <v/>
          </cell>
          <cell r="W112" t="str">
            <v> </v>
          </cell>
          <cell r="X112" t="str">
            <v/>
          </cell>
        </row>
        <row r="113">
          <cell r="R113" t="str">
            <v/>
          </cell>
          <cell r="S113" t="str">
            <v/>
          </cell>
          <cell r="T113" t="str">
            <v/>
          </cell>
          <cell r="U113" t="str">
            <v/>
          </cell>
          <cell r="V113" t="str">
            <v/>
          </cell>
          <cell r="W113" t="str">
            <v> </v>
          </cell>
          <cell r="X113" t="str">
            <v/>
          </cell>
        </row>
        <row r="125">
          <cell r="R125" t="str">
            <v>L1</v>
          </cell>
          <cell r="S125" t="str">
            <v>x</v>
          </cell>
          <cell r="T125" t="str">
            <v>KW</v>
          </cell>
          <cell r="U125" t="str">
            <v>Standardtraktor</v>
          </cell>
          <cell r="V125">
            <v>45</v>
          </cell>
          <cell r="W125" t="str">
            <v>45 KW</v>
          </cell>
          <cell r="X125">
            <v>10.288</v>
          </cell>
        </row>
        <row r="126">
          <cell r="R126" t="str">
            <v>L2</v>
          </cell>
          <cell r="S126" t="str">
            <v>x</v>
          </cell>
          <cell r="T126" t="str">
            <v>lt</v>
          </cell>
          <cell r="U126" t="str">
            <v>Vakuumfass</v>
          </cell>
          <cell r="V126">
            <v>4000</v>
          </cell>
          <cell r="W126" t="str">
            <v>4000 lt</v>
          </cell>
          <cell r="X126">
            <v>1.3</v>
          </cell>
        </row>
        <row r="127">
          <cell r="R127" t="str">
            <v/>
          </cell>
          <cell r="S127" t="str">
            <v/>
          </cell>
          <cell r="T127" t="str">
            <v/>
          </cell>
          <cell r="U127" t="str">
            <v/>
          </cell>
          <cell r="V127" t="str">
            <v/>
          </cell>
          <cell r="W127" t="str">
            <v> </v>
          </cell>
          <cell r="X127" t="str">
            <v/>
          </cell>
        </row>
        <row r="128">
          <cell r="R128" t="str">
            <v/>
          </cell>
          <cell r="S128" t="str">
            <v/>
          </cell>
          <cell r="T128" t="str">
            <v/>
          </cell>
          <cell r="U128" t="str">
            <v/>
          </cell>
          <cell r="V128" t="str">
            <v/>
          </cell>
          <cell r="W128" t="str">
            <v> </v>
          </cell>
          <cell r="X128" t="str">
            <v/>
          </cell>
        </row>
        <row r="129">
          <cell r="R129" t="str">
            <v/>
          </cell>
          <cell r="S129" t="str">
            <v/>
          </cell>
          <cell r="T129" t="str">
            <v/>
          </cell>
          <cell r="U129" t="str">
            <v/>
          </cell>
          <cell r="V129" t="str">
            <v/>
          </cell>
          <cell r="W129" t="str">
            <v> </v>
          </cell>
          <cell r="X129" t="str">
            <v/>
          </cell>
        </row>
        <row r="130">
          <cell r="R130" t="str">
            <v/>
          </cell>
          <cell r="S130" t="str">
            <v/>
          </cell>
          <cell r="T130" t="str">
            <v/>
          </cell>
          <cell r="U130" t="str">
            <v/>
          </cell>
          <cell r="V130" t="str">
            <v/>
          </cell>
          <cell r="W130" t="str">
            <v> </v>
          </cell>
          <cell r="X130" t="str">
            <v/>
          </cell>
        </row>
        <row r="133">
          <cell r="R133" t="str">
            <v>T1</v>
          </cell>
          <cell r="S133" t="str">
            <v>x</v>
          </cell>
          <cell r="T133" t="str">
            <v>KW</v>
          </cell>
          <cell r="U133" t="str">
            <v>Standardtraktor</v>
          </cell>
          <cell r="V133">
            <v>45</v>
          </cell>
          <cell r="W133" t="str">
            <v>45 KW</v>
          </cell>
          <cell r="X133">
            <v>10.288</v>
          </cell>
        </row>
        <row r="134">
          <cell r="R134" t="str">
            <v>T2</v>
          </cell>
          <cell r="S134" t="str">
            <v>x</v>
          </cell>
          <cell r="T134" t="str">
            <v>lt</v>
          </cell>
          <cell r="U134" t="str">
            <v>Vakuumfass</v>
          </cell>
          <cell r="V134">
            <v>4000</v>
          </cell>
          <cell r="W134" t="str">
            <v>4000 lt</v>
          </cell>
          <cell r="X134">
            <v>1.3</v>
          </cell>
        </row>
        <row r="135">
          <cell r="R135" t="str">
            <v/>
          </cell>
          <cell r="S135" t="str">
            <v/>
          </cell>
          <cell r="T135" t="str">
            <v/>
          </cell>
          <cell r="U135" t="str">
            <v/>
          </cell>
          <cell r="V135" t="str">
            <v/>
          </cell>
          <cell r="W135" t="str">
            <v> </v>
          </cell>
          <cell r="X135" t="str">
            <v/>
          </cell>
        </row>
        <row r="136">
          <cell r="R136" t="str">
            <v/>
          </cell>
          <cell r="S136" t="str">
            <v/>
          </cell>
          <cell r="T136" t="str">
            <v/>
          </cell>
          <cell r="U136" t="str">
            <v/>
          </cell>
          <cell r="V136" t="str">
            <v/>
          </cell>
          <cell r="W136" t="str">
            <v> </v>
          </cell>
          <cell r="X136" t="str">
            <v/>
          </cell>
        </row>
        <row r="137">
          <cell r="R137" t="str">
            <v/>
          </cell>
          <cell r="S137" t="str">
            <v/>
          </cell>
          <cell r="T137" t="str">
            <v/>
          </cell>
          <cell r="U137" t="str">
            <v/>
          </cell>
          <cell r="V137" t="str">
            <v/>
          </cell>
          <cell r="W137" t="str">
            <v> </v>
          </cell>
          <cell r="X137" t="str">
            <v/>
          </cell>
        </row>
        <row r="138">
          <cell r="R138" t="str">
            <v/>
          </cell>
          <cell r="S138" t="str">
            <v/>
          </cell>
          <cell r="T138" t="str">
            <v/>
          </cell>
          <cell r="U138" t="str">
            <v/>
          </cell>
          <cell r="V138" t="str">
            <v/>
          </cell>
          <cell r="W138" t="str">
            <v> </v>
          </cell>
          <cell r="X138" t="str">
            <v/>
          </cell>
        </row>
        <row r="141">
          <cell r="R141" t="str">
            <v>A1</v>
          </cell>
          <cell r="S141" t="str">
            <v>x</v>
          </cell>
          <cell r="T141" t="str">
            <v>KW</v>
          </cell>
          <cell r="U141" t="str">
            <v>Standardtraktor</v>
          </cell>
          <cell r="V141">
            <v>45</v>
          </cell>
          <cell r="W141" t="str">
            <v>45 KW</v>
          </cell>
          <cell r="X141">
            <v>10.288</v>
          </cell>
        </row>
        <row r="142">
          <cell r="R142" t="str">
            <v>A2</v>
          </cell>
          <cell r="S142" t="str">
            <v>x</v>
          </cell>
          <cell r="T142" t="str">
            <v>lt</v>
          </cell>
          <cell r="U142" t="str">
            <v>Vakuumfass</v>
          </cell>
          <cell r="V142">
            <v>4000</v>
          </cell>
          <cell r="W142" t="str">
            <v>4000 lt</v>
          </cell>
          <cell r="X142">
            <v>1.3</v>
          </cell>
        </row>
        <row r="143">
          <cell r="R143" t="str">
            <v/>
          </cell>
          <cell r="S143" t="str">
            <v/>
          </cell>
          <cell r="T143" t="str">
            <v/>
          </cell>
          <cell r="U143" t="str">
            <v/>
          </cell>
          <cell r="V143" t="str">
            <v/>
          </cell>
          <cell r="W143" t="str">
            <v> </v>
          </cell>
          <cell r="X143" t="str">
            <v/>
          </cell>
        </row>
        <row r="144">
          <cell r="R144" t="str">
            <v/>
          </cell>
          <cell r="S144" t="str">
            <v/>
          </cell>
          <cell r="T144" t="str">
            <v/>
          </cell>
          <cell r="U144" t="str">
            <v/>
          </cell>
          <cell r="V144" t="str">
            <v/>
          </cell>
          <cell r="W144" t="str">
            <v> </v>
          </cell>
          <cell r="X144" t="str">
            <v/>
          </cell>
        </row>
        <row r="145">
          <cell r="R145" t="str">
            <v/>
          </cell>
          <cell r="S145" t="str">
            <v/>
          </cell>
          <cell r="T145" t="str">
            <v/>
          </cell>
          <cell r="U145" t="str">
            <v/>
          </cell>
          <cell r="V145" t="str">
            <v/>
          </cell>
          <cell r="W145" t="str">
            <v> </v>
          </cell>
          <cell r="X145" t="str">
            <v/>
          </cell>
        </row>
        <row r="146">
          <cell r="R146" t="str">
            <v/>
          </cell>
          <cell r="S146" t="str">
            <v/>
          </cell>
          <cell r="T146" t="str">
            <v/>
          </cell>
          <cell r="U146" t="str">
            <v/>
          </cell>
          <cell r="V146" t="str">
            <v/>
          </cell>
          <cell r="W146" t="str">
            <v> </v>
          </cell>
          <cell r="X146" t="str">
            <v/>
          </cell>
        </row>
      </sheetData>
      <sheetData sheetId="21">
        <row r="23">
          <cell r="G23">
            <v>747.4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g"/>
      <sheetName val="Ist"/>
      <sheetName val="Plan"/>
      <sheetName val="Milch"/>
      <sheetName val="MuKu"/>
      <sheetName val="Lamm"/>
      <sheetName val="WD.ILeist"/>
      <sheetName val="ILeist"/>
      <sheetName val="Jog"/>
      <sheetName val="MKK1"/>
      <sheetName val="MKK2"/>
      <sheetName val="FK"/>
      <sheetName val="UV"/>
      <sheetName val="AV"/>
      <sheetName val="Geb"/>
      <sheetName val="E-ErgInt"/>
      <sheetName val="E-Ist"/>
      <sheetName val="E-Plan"/>
      <sheetName val="E-Fin"/>
      <sheetName val="E-Milch"/>
      <sheetName val="E-MuKu"/>
      <sheetName val="E-Lamm"/>
      <sheetName val="E-WD.ILeist"/>
      <sheetName val="E-ILeist"/>
      <sheetName val="E-MKK1"/>
      <sheetName val="E-MKK2"/>
      <sheetName val="E-Jog"/>
      <sheetName val="E-FK"/>
      <sheetName val="E-UV"/>
      <sheetName val="E-AV"/>
      <sheetName val="E-Geb"/>
    </sheetNames>
    <sheetDataSet>
      <sheetData sheetId="0">
        <row r="12">
          <cell r="E12">
            <v>2007</v>
          </cell>
        </row>
      </sheetData>
      <sheetData sheetId="1">
        <row r="13">
          <cell r="B13" t="str">
            <v>DB</v>
          </cell>
          <cell r="D13" t="str">
            <v>Milchkuh</v>
          </cell>
          <cell r="G13">
            <v>4</v>
          </cell>
          <cell r="K13">
            <v>596.3666666666668</v>
          </cell>
          <cell r="M13">
            <v>7993.3677307199905</v>
          </cell>
          <cell r="O13">
            <v>354.0629166666667</v>
          </cell>
        </row>
        <row r="15">
          <cell r="B15" t="str">
            <v>DB</v>
          </cell>
          <cell r="D15" t="str">
            <v>Kalbinnen</v>
          </cell>
          <cell r="G15">
            <v>2</v>
          </cell>
          <cell r="K15">
            <v>781</v>
          </cell>
          <cell r="M15">
            <v>28500</v>
          </cell>
          <cell r="O15">
            <v>60</v>
          </cell>
        </row>
        <row r="17">
          <cell r="B17" t="str">
            <v>DB</v>
          </cell>
          <cell r="D17" t="str">
            <v>Milchkälber</v>
          </cell>
          <cell r="G17">
            <v>5</v>
          </cell>
          <cell r="K17">
            <v>8</v>
          </cell>
          <cell r="M17">
            <v>0</v>
          </cell>
          <cell r="O17">
            <v>9.3</v>
          </cell>
        </row>
        <row r="19">
          <cell r="B19" t="str">
            <v>DB</v>
          </cell>
          <cell r="D19" t="str">
            <v>Mastschweine</v>
          </cell>
          <cell r="G19">
            <v>4</v>
          </cell>
          <cell r="K19">
            <v>28</v>
          </cell>
          <cell r="M19">
            <v>0</v>
          </cell>
          <cell r="O19">
            <v>3.2</v>
          </cell>
        </row>
        <row r="21">
          <cell r="B21" t="str">
            <v>DB</v>
          </cell>
          <cell r="D21" t="str">
            <v>Kartoffel</v>
          </cell>
          <cell r="G21">
            <v>1</v>
          </cell>
          <cell r="K21">
            <v>900</v>
          </cell>
          <cell r="M21">
            <v>0</v>
          </cell>
          <cell r="O21">
            <v>85</v>
          </cell>
        </row>
        <row r="23">
          <cell r="B23" t="str">
            <v>DB</v>
          </cell>
          <cell r="K23" t="str">
            <v/>
          </cell>
          <cell r="M23" t="str">
            <v/>
          </cell>
          <cell r="O23" t="str">
            <v/>
          </cell>
        </row>
        <row r="25">
          <cell r="B25" t="str">
            <v>DB</v>
          </cell>
          <cell r="K25" t="str">
            <v/>
          </cell>
          <cell r="M25" t="str">
            <v/>
          </cell>
          <cell r="O25" t="str">
            <v/>
          </cell>
        </row>
        <row r="27">
          <cell r="B27" t="str">
            <v>VK</v>
          </cell>
          <cell r="D27" t="str">
            <v>Feldfutter - Heu</v>
          </cell>
          <cell r="G27">
            <v>1.25</v>
          </cell>
          <cell r="K27">
            <v>815</v>
          </cell>
          <cell r="M27">
            <v>57100</v>
          </cell>
          <cell r="O27">
            <v>43</v>
          </cell>
        </row>
        <row r="29">
          <cell r="B29" t="str">
            <v>VK</v>
          </cell>
          <cell r="D29" t="str">
            <v>Dauergrünland 3-schnittig</v>
          </cell>
          <cell r="G29">
            <v>3.3</v>
          </cell>
          <cell r="K29">
            <v>648</v>
          </cell>
          <cell r="M29">
            <v>46960</v>
          </cell>
          <cell r="O29">
            <v>43</v>
          </cell>
        </row>
        <row r="31">
          <cell r="B31" t="str">
            <v>VK</v>
          </cell>
          <cell r="D31" t="str">
            <v>Dauergrünland 1-schnittig</v>
          </cell>
          <cell r="G31">
            <v>2.7</v>
          </cell>
          <cell r="K31">
            <v>342.30760000000004</v>
          </cell>
          <cell r="M31">
            <v>13860</v>
          </cell>
          <cell r="O31">
            <v>30.283333333333335</v>
          </cell>
        </row>
        <row r="33">
          <cell r="B33" t="str">
            <v>VK</v>
          </cell>
          <cell r="K33" t="str">
            <v/>
          </cell>
          <cell r="M33" t="str">
            <v/>
          </cell>
          <cell r="O33" t="str">
            <v/>
          </cell>
        </row>
        <row r="35">
          <cell r="B35" t="str">
            <v>VK</v>
          </cell>
          <cell r="K35" t="str">
            <v/>
          </cell>
          <cell r="M35" t="str">
            <v/>
          </cell>
          <cell r="O35" t="str">
            <v/>
          </cell>
        </row>
        <row r="39">
          <cell r="B39" t="str">
            <v>VK</v>
          </cell>
          <cell r="K39" t="str">
            <v/>
          </cell>
          <cell r="M39" t="str">
            <v/>
          </cell>
          <cell r="O39" t="str">
            <v/>
          </cell>
        </row>
        <row r="43">
          <cell r="B43" t="str">
            <v>Maschinenringtätigkeit</v>
          </cell>
          <cell r="G43">
            <v>850</v>
          </cell>
          <cell r="O43">
            <v>-18200</v>
          </cell>
        </row>
        <row r="50">
          <cell r="B50" t="str">
            <v>Ausgleichszulage</v>
          </cell>
          <cell r="G50">
            <v>2850</v>
          </cell>
          <cell r="O50">
            <v>-452</v>
          </cell>
        </row>
        <row r="52">
          <cell r="B52" t="str">
            <v>EBP</v>
          </cell>
        </row>
        <row r="54">
          <cell r="B54" t="str">
            <v>Tierprämien</v>
          </cell>
          <cell r="G54">
            <v>1875</v>
          </cell>
        </row>
        <row r="56">
          <cell r="B56" t="str">
            <v>ÖPUL</v>
          </cell>
          <cell r="G56">
            <v>1500</v>
          </cell>
        </row>
        <row r="66">
          <cell r="G66">
            <v>5800</v>
          </cell>
          <cell r="O66">
            <v>540</v>
          </cell>
        </row>
        <row r="68">
          <cell r="G68">
            <v>18250</v>
          </cell>
        </row>
      </sheetData>
      <sheetData sheetId="2">
        <row r="15">
          <cell r="D15" t="str">
            <v>Stallbau: Errichtungskosten</v>
          </cell>
          <cell r="G15">
            <v>38500</v>
          </cell>
          <cell r="I15">
            <v>30</v>
          </cell>
          <cell r="M15" t="str">
            <v>Eigenkapital</v>
          </cell>
          <cell r="P15">
            <v>44650</v>
          </cell>
          <cell r="R15">
            <v>0.03</v>
          </cell>
          <cell r="T15">
            <v>30</v>
          </cell>
        </row>
        <row r="17">
          <cell r="D17" t="str">
            <v>Ausstattung</v>
          </cell>
          <cell r="G17">
            <v>6000</v>
          </cell>
          <cell r="I17">
            <v>30</v>
          </cell>
          <cell r="M17" t="str">
            <v>AIK-Kredit</v>
          </cell>
          <cell r="P17">
            <v>12000</v>
          </cell>
          <cell r="R17">
            <v>0.025</v>
          </cell>
          <cell r="T17">
            <v>19</v>
          </cell>
        </row>
        <row r="19">
          <cell r="D19" t="str">
            <v>Tierzukauf</v>
          </cell>
          <cell r="G19">
            <v>31700</v>
          </cell>
          <cell r="I19">
            <v>5</v>
          </cell>
        </row>
        <row r="25">
          <cell r="B25" t="str">
            <v>Investitionszuschuss (=verlorener Zuschuss)</v>
          </cell>
          <cell r="I25">
            <v>19550</v>
          </cell>
        </row>
        <row r="27">
          <cell r="B27" t="str">
            <v>Rationalisierungsgewinne</v>
          </cell>
        </row>
        <row r="28">
          <cell r="G28">
            <v>0.4</v>
          </cell>
          <cell r="P28">
            <v>-0.1</v>
          </cell>
        </row>
        <row r="30">
          <cell r="G30">
            <v>-0.1</v>
          </cell>
          <cell r="P30">
            <v>0</v>
          </cell>
        </row>
        <row r="33">
          <cell r="B33" t="str">
            <v>DB</v>
          </cell>
          <cell r="D33" t="str">
            <v>Lämmer</v>
          </cell>
          <cell r="G33">
            <v>65</v>
          </cell>
          <cell r="K33">
            <v>59.79692307692309</v>
          </cell>
          <cell r="M33">
            <v>3200</v>
          </cell>
          <cell r="P33">
            <v>8</v>
          </cell>
        </row>
        <row r="35">
          <cell r="B35" t="str">
            <v>DB</v>
          </cell>
          <cell r="D35" t="str">
            <v>Kartoffel</v>
          </cell>
          <cell r="G35">
            <v>1.5</v>
          </cell>
          <cell r="K35">
            <v>900</v>
          </cell>
          <cell r="M35">
            <v>0</v>
          </cell>
          <cell r="P35">
            <v>85</v>
          </cell>
        </row>
        <row r="37">
          <cell r="B37" t="str">
            <v>DB</v>
          </cell>
          <cell r="K37" t="str">
            <v/>
          </cell>
          <cell r="M37" t="str">
            <v/>
          </cell>
          <cell r="P37" t="str">
            <v/>
          </cell>
        </row>
        <row r="39">
          <cell r="B39" t="str">
            <v>DB</v>
          </cell>
          <cell r="K39" t="str">
            <v/>
          </cell>
          <cell r="M39" t="str">
            <v/>
          </cell>
          <cell r="P39" t="str">
            <v/>
          </cell>
        </row>
        <row r="41">
          <cell r="B41" t="str">
            <v>DB</v>
          </cell>
          <cell r="K41" t="str">
            <v/>
          </cell>
          <cell r="M41" t="str">
            <v/>
          </cell>
          <cell r="P41" t="str">
            <v/>
          </cell>
        </row>
        <row r="43">
          <cell r="B43" t="str">
            <v>DB</v>
          </cell>
          <cell r="K43" t="str">
            <v/>
          </cell>
          <cell r="M43" t="str">
            <v/>
          </cell>
          <cell r="P43" t="str">
            <v/>
          </cell>
        </row>
        <row r="45">
          <cell r="B45" t="str">
            <v>DB</v>
          </cell>
          <cell r="K45" t="str">
            <v/>
          </cell>
          <cell r="M45" t="str">
            <v/>
          </cell>
          <cell r="P45" t="str">
            <v/>
          </cell>
        </row>
        <row r="48">
          <cell r="B48" t="str">
            <v>VK</v>
          </cell>
          <cell r="D48" t="str">
            <v>Feldfutter  - Silage</v>
          </cell>
          <cell r="G48">
            <v>4</v>
          </cell>
          <cell r="K48">
            <v>962</v>
          </cell>
          <cell r="M48">
            <v>76800</v>
          </cell>
          <cell r="P48">
            <v>34</v>
          </cell>
        </row>
        <row r="50">
          <cell r="B50" t="str">
            <v>VK</v>
          </cell>
          <cell r="D50" t="str">
            <v>Dauergrünland 3-schnittig</v>
          </cell>
          <cell r="G50">
            <v>6</v>
          </cell>
          <cell r="K50">
            <v>648</v>
          </cell>
          <cell r="M50">
            <v>46960</v>
          </cell>
          <cell r="P50">
            <v>43</v>
          </cell>
        </row>
        <row r="52">
          <cell r="B52" t="str">
            <v>VK</v>
          </cell>
          <cell r="D52" t="str">
            <v>Dauergrünland 1-schnittig</v>
          </cell>
          <cell r="G52">
            <v>4</v>
          </cell>
          <cell r="K52">
            <v>342.30760000000004</v>
          </cell>
          <cell r="M52">
            <v>13860</v>
          </cell>
          <cell r="P52">
            <v>30.283333333333335</v>
          </cell>
        </row>
        <row r="54">
          <cell r="B54" t="str">
            <v>VK</v>
          </cell>
          <cell r="K54" t="str">
            <v/>
          </cell>
          <cell r="M54" t="str">
            <v/>
          </cell>
          <cell r="P54" t="str">
            <v/>
          </cell>
        </row>
        <row r="56">
          <cell r="B56" t="str">
            <v>VK</v>
          </cell>
          <cell r="K56" t="str">
            <v/>
          </cell>
          <cell r="M56" t="str">
            <v/>
          </cell>
          <cell r="P56" t="str">
            <v/>
          </cell>
        </row>
        <row r="58">
          <cell r="B58" t="str">
            <v>VK</v>
          </cell>
          <cell r="K58" t="str">
            <v/>
          </cell>
          <cell r="M58" t="str">
            <v/>
          </cell>
          <cell r="P58" t="str">
            <v/>
          </cell>
        </row>
        <row r="60">
          <cell r="B60" t="str">
            <v>VK</v>
          </cell>
          <cell r="K60" t="str">
            <v/>
          </cell>
          <cell r="M60" t="str">
            <v/>
          </cell>
          <cell r="P60" t="str">
            <v/>
          </cell>
        </row>
        <row r="64">
          <cell r="B64" t="str">
            <v>Maschinenringtätigkeit</v>
          </cell>
          <cell r="G64">
            <v>1105</v>
          </cell>
        </row>
        <row r="71">
          <cell r="B71" t="str">
            <v>Ausgleichszulage</v>
          </cell>
          <cell r="G71">
            <v>2850</v>
          </cell>
        </row>
        <row r="73">
          <cell r="B73" t="str">
            <v>EBP</v>
          </cell>
          <cell r="G73">
            <v>1690</v>
          </cell>
        </row>
        <row r="75">
          <cell r="B75" t="str">
            <v>Tierptämien - Mutterkuhhaltung</v>
          </cell>
          <cell r="G75">
            <v>1362</v>
          </cell>
        </row>
        <row r="77">
          <cell r="B77" t="str">
            <v>ÖPUL</v>
          </cell>
          <cell r="G77">
            <v>1710</v>
          </cell>
        </row>
        <row r="84">
          <cell r="G84">
            <v>5800</v>
          </cell>
        </row>
        <row r="86">
          <cell r="G86">
            <v>31730</v>
          </cell>
        </row>
      </sheetData>
      <sheetData sheetId="3">
        <row r="12">
          <cell r="B12" t="str">
            <v>Durchschnittliche Anzahl der Laktationen</v>
          </cell>
          <cell r="G12" t="str">
            <v>Kraftfutterbedarf</v>
          </cell>
          <cell r="O12">
            <v>6</v>
          </cell>
          <cell r="R12">
            <v>1010</v>
          </cell>
        </row>
        <row r="14">
          <cell r="B14" t="str">
            <v>Milchleistung</v>
          </cell>
          <cell r="O14">
            <v>4600</v>
          </cell>
        </row>
        <row r="16">
          <cell r="B16" t="str">
            <v>Lebendgewicht</v>
          </cell>
          <cell r="G16" t="str">
            <v>MJ NEL/kg</v>
          </cell>
          <cell r="O16">
            <v>600</v>
          </cell>
          <cell r="R16">
            <v>6.8</v>
          </cell>
        </row>
        <row r="18">
          <cell r="B18" t="str">
            <v>Stallhaltungstage</v>
          </cell>
          <cell r="G18" t="str">
            <v>g RP/kg</v>
          </cell>
          <cell r="O18">
            <v>310</v>
          </cell>
          <cell r="R18">
            <v>130</v>
          </cell>
        </row>
        <row r="20">
          <cell r="B20" t="str">
            <v>A-Quote:</v>
          </cell>
          <cell r="G20" t="str">
            <v>Umwandlungsschlüssel</v>
          </cell>
          <cell r="O20">
            <v>3500</v>
          </cell>
          <cell r="R20">
            <v>0.58</v>
          </cell>
        </row>
        <row r="22">
          <cell r="B22" t="str">
            <v>D-Quote</v>
          </cell>
          <cell r="O22">
            <v>12000</v>
          </cell>
        </row>
        <row r="24">
          <cell r="B24" t="str">
            <v>Ø Anzahl der Kühe</v>
          </cell>
          <cell r="O24">
            <v>4</v>
          </cell>
        </row>
        <row r="26">
          <cell r="B26" t="str">
            <v>Fett</v>
          </cell>
          <cell r="O26">
            <v>0.04</v>
          </cell>
        </row>
        <row r="28">
          <cell r="B28" t="str">
            <v>Eiweiß</v>
          </cell>
          <cell r="O28">
            <v>0.034</v>
          </cell>
        </row>
        <row r="33">
          <cell r="B33" t="str">
            <v>Ab-Hof</v>
          </cell>
          <cell r="O33">
            <v>450</v>
          </cell>
        </row>
        <row r="35">
          <cell r="B35" t="str">
            <v>Eigen- u. Gästeverbrauch</v>
          </cell>
          <cell r="O35">
            <v>120</v>
          </cell>
        </row>
        <row r="39">
          <cell r="B39" t="str">
            <v>Butter</v>
          </cell>
          <cell r="K39">
            <v>23</v>
          </cell>
          <cell r="O39">
            <v>20</v>
          </cell>
          <cell r="P39">
            <v>11</v>
          </cell>
          <cell r="Q39">
            <v>3</v>
          </cell>
        </row>
        <row r="41">
          <cell r="B41" t="str">
            <v>Jogurt</v>
          </cell>
          <cell r="K41">
            <v>1</v>
          </cell>
          <cell r="O41">
            <v>360</v>
          </cell>
          <cell r="P41" t="str">
            <v/>
          </cell>
          <cell r="Q41">
            <v>4.5</v>
          </cell>
        </row>
        <row r="43">
          <cell r="B43" t="str">
            <v>Topfen aus Vollmilch</v>
          </cell>
          <cell r="K43">
            <v>8</v>
          </cell>
          <cell r="O43">
            <v>80</v>
          </cell>
          <cell r="P43" t="str">
            <v/>
          </cell>
          <cell r="Q43">
            <v>4.5</v>
          </cell>
        </row>
        <row r="45">
          <cell r="B45" t="str">
            <v>Käse</v>
          </cell>
          <cell r="K45">
            <v>8.5</v>
          </cell>
          <cell r="P45">
            <v>15</v>
          </cell>
          <cell r="Q45">
            <v>2.75</v>
          </cell>
        </row>
        <row r="47">
          <cell r="O47" t="str">
            <v/>
          </cell>
          <cell r="P47" t="str">
            <v/>
          </cell>
          <cell r="Q47" t="str">
            <v/>
          </cell>
        </row>
        <row r="49">
          <cell r="P49" t="str">
            <v/>
          </cell>
          <cell r="Q49" t="str">
            <v/>
          </cell>
        </row>
        <row r="59">
          <cell r="B59" t="str">
            <v>Altkuherlös/kg LG</v>
          </cell>
          <cell r="G59" t="str">
            <v>Kälberpreis männlich</v>
          </cell>
          <cell r="O59">
            <v>0.55</v>
          </cell>
          <cell r="R59">
            <v>142</v>
          </cell>
        </row>
        <row r="61">
          <cell r="B61" t="str">
            <v>Kälberpreis weiblich</v>
          </cell>
          <cell r="G61" t="str">
            <v>Aufzuchtkosten Rind</v>
          </cell>
          <cell r="O61">
            <v>395</v>
          </cell>
          <cell r="R61">
            <v>789</v>
          </cell>
        </row>
        <row r="63">
          <cell r="B63" t="str">
            <v>Abkalbequote</v>
          </cell>
          <cell r="E63">
            <v>0.9</v>
          </cell>
        </row>
        <row r="67">
          <cell r="B67" t="str">
            <v>Molkereigeld</v>
          </cell>
          <cell r="G67" t="str">
            <v>Topfen aus Vollmilch</v>
          </cell>
          <cell r="O67">
            <v>0.34</v>
          </cell>
          <cell r="R67">
            <v>2.3</v>
          </cell>
        </row>
        <row r="69">
          <cell r="B69" t="str">
            <v>Ab-Hof</v>
          </cell>
          <cell r="G69" t="str">
            <v>Käse</v>
          </cell>
          <cell r="O69">
            <v>0.6</v>
          </cell>
          <cell r="R69">
            <v>8.6</v>
          </cell>
        </row>
        <row r="71">
          <cell r="B71" t="str">
            <v>Eigen- u. Gästeverbrauch</v>
          </cell>
          <cell r="G71" t="str">
            <v>-</v>
          </cell>
          <cell r="O71">
            <v>0.6</v>
          </cell>
          <cell r="R71" t="str">
            <v/>
          </cell>
        </row>
        <row r="73">
          <cell r="B73" t="str">
            <v>Butter</v>
          </cell>
          <cell r="G73" t="str">
            <v>-</v>
          </cell>
          <cell r="O73">
            <v>6</v>
          </cell>
          <cell r="R73" t="str">
            <v/>
          </cell>
        </row>
        <row r="75">
          <cell r="B75" t="str">
            <v>Jogurt</v>
          </cell>
          <cell r="G75" t="str">
            <v>Magermilch</v>
          </cell>
          <cell r="O75">
            <v>1.1</v>
          </cell>
          <cell r="R75">
            <v>0.04</v>
          </cell>
        </row>
        <row r="81">
          <cell r="B81" t="str">
            <v>Bestandesergänzung</v>
          </cell>
          <cell r="O81" t="str">
            <v/>
          </cell>
        </row>
        <row r="83">
          <cell r="B83" t="str">
            <v>KF</v>
          </cell>
          <cell r="O83">
            <v>0.4</v>
          </cell>
          <cell r="P83">
            <v>1010</v>
          </cell>
        </row>
        <row r="85">
          <cell r="B85" t="str">
            <v>Mineralstoffmischung</v>
          </cell>
          <cell r="O85">
            <v>0.62</v>
          </cell>
          <cell r="P85">
            <v>49</v>
          </cell>
        </row>
        <row r="87">
          <cell r="B87" t="str">
            <v>Tierarzt</v>
          </cell>
          <cell r="O87">
            <v>60</v>
          </cell>
        </row>
        <row r="89">
          <cell r="B89" t="str">
            <v>Deckgeld</v>
          </cell>
          <cell r="O89">
            <v>35</v>
          </cell>
        </row>
        <row r="91">
          <cell r="B91" t="str">
            <v>Kontrollgebühren</v>
          </cell>
          <cell r="O91">
            <v>9</v>
          </cell>
        </row>
        <row r="93">
          <cell r="B93" t="str">
            <v>Versicherung</v>
          </cell>
          <cell r="O93">
            <v>21</v>
          </cell>
        </row>
        <row r="95">
          <cell r="B95" t="str">
            <v>Alpung</v>
          </cell>
          <cell r="O95">
            <v>90</v>
          </cell>
        </row>
        <row r="97">
          <cell r="B97" t="str">
            <v>Energie</v>
          </cell>
          <cell r="O97">
            <v>25</v>
          </cell>
        </row>
        <row r="99">
          <cell r="B99" t="str">
            <v>Einstreu</v>
          </cell>
          <cell r="O99">
            <v>0.11</v>
          </cell>
          <cell r="P99">
            <v>560</v>
          </cell>
        </row>
        <row r="101">
          <cell r="B101" t="str">
            <v>Vermarktungs-/Verarbeitungskosten</v>
          </cell>
          <cell r="O101">
            <v>0.06</v>
          </cell>
          <cell r="P101">
            <v>2010</v>
          </cell>
        </row>
        <row r="103">
          <cell r="B103" t="str">
            <v>Verpackung/Etik. - in €/kg Produktion</v>
          </cell>
          <cell r="O103">
            <v>0.03</v>
          </cell>
          <cell r="P103">
            <v>505</v>
          </cell>
        </row>
        <row r="105">
          <cell r="B105" t="str">
            <v>Reinigung und Energie</v>
          </cell>
          <cell r="O105">
            <v>72.5</v>
          </cell>
        </row>
        <row r="107">
          <cell r="B107" t="str">
            <v>Zuteilbare FK Butterfass, Zentrifuge</v>
          </cell>
          <cell r="O107">
            <v>175</v>
          </cell>
        </row>
        <row r="111">
          <cell r="B111" t="str">
            <v>Heu</v>
          </cell>
          <cell r="O111">
            <v>0.65</v>
          </cell>
          <cell r="P111">
            <v>0.018</v>
          </cell>
        </row>
        <row r="113">
          <cell r="B113" t="str">
            <v>Grassilage</v>
          </cell>
          <cell r="O113">
            <v>0.35</v>
          </cell>
          <cell r="P113">
            <v>0.015</v>
          </cell>
        </row>
        <row r="115">
          <cell r="B115" t="str">
            <v>Maissilage</v>
          </cell>
          <cell r="O115">
            <v>0</v>
          </cell>
          <cell r="P115">
            <v>0.015</v>
          </cell>
        </row>
        <row r="119">
          <cell r="O119" t="str">
            <v/>
          </cell>
        </row>
        <row r="121">
          <cell r="O121" t="str">
            <v/>
          </cell>
        </row>
        <row r="123">
          <cell r="O123" t="str">
            <v/>
          </cell>
        </row>
        <row r="127">
          <cell r="O127">
            <v>55</v>
          </cell>
        </row>
      </sheetData>
      <sheetData sheetId="4">
        <row r="12">
          <cell r="B12" t="str">
            <v>Erhaltungsbedarf</v>
          </cell>
          <cell r="F12" t="str">
            <v>Leistungsbedarf</v>
          </cell>
        </row>
        <row r="14">
          <cell r="D14">
            <v>0.75</v>
          </cell>
          <cell r="I14">
            <v>3.17</v>
          </cell>
        </row>
        <row r="16">
          <cell r="D16">
            <v>0.293</v>
          </cell>
          <cell r="I16">
            <v>360</v>
          </cell>
        </row>
        <row r="18">
          <cell r="B18" t="str">
            <v>Bedarf je Nachkomme</v>
          </cell>
          <cell r="O18">
            <v>7000</v>
          </cell>
        </row>
        <row r="21">
          <cell r="B21" t="str">
            <v>Milchleistung:</v>
          </cell>
          <cell r="F21" t="str">
            <v>Stallhaltungstage</v>
          </cell>
          <cell r="K21">
            <v>1</v>
          </cell>
          <cell r="O21">
            <v>3100</v>
          </cell>
          <cell r="Q21">
            <v>290</v>
          </cell>
          <cell r="R21">
            <v>-0.2</v>
          </cell>
        </row>
        <row r="23">
          <cell r="B23" t="str">
            <v>Fett</v>
          </cell>
          <cell r="F23" t="str">
            <v>Abkalbequote</v>
          </cell>
          <cell r="K23">
            <v>2</v>
          </cell>
          <cell r="O23">
            <v>0.04</v>
          </cell>
          <cell r="Q23">
            <v>0.9</v>
          </cell>
          <cell r="R23">
            <v>-0.1</v>
          </cell>
        </row>
        <row r="25">
          <cell r="B25" t="str">
            <v>Eiweiß</v>
          </cell>
          <cell r="K25">
            <v>4</v>
          </cell>
          <cell r="O25">
            <v>0.031</v>
          </cell>
          <cell r="R25">
            <v>0.1</v>
          </cell>
        </row>
        <row r="27">
          <cell r="B27" t="str">
            <v>Mutterkuhgewicht lebend</v>
          </cell>
          <cell r="K27">
            <v>5</v>
          </cell>
          <cell r="O27">
            <v>630</v>
          </cell>
          <cell r="Q27">
            <v>0.5</v>
          </cell>
          <cell r="R27">
            <v>0.2</v>
          </cell>
        </row>
        <row r="29">
          <cell r="B29" t="str">
            <v>Nutzungsdauer</v>
          </cell>
          <cell r="O29">
            <v>6</v>
          </cell>
        </row>
        <row r="33">
          <cell r="B33" t="str">
            <v>Nutzungsform</v>
          </cell>
          <cell r="O33" t="str">
            <v>Baby-beef</v>
          </cell>
        </row>
        <row r="35">
          <cell r="B35" t="str">
            <v>Haltungsdauer</v>
          </cell>
          <cell r="R35">
            <v>1.1</v>
          </cell>
        </row>
        <row r="37">
          <cell r="B37" t="str">
            <v>Kalbin</v>
          </cell>
          <cell r="E37" t="str">
            <v> Tage</v>
          </cell>
          <cell r="O37" t="str">
            <v/>
          </cell>
        </row>
        <row r="39">
          <cell r="B39" t="str">
            <v>Stier</v>
          </cell>
          <cell r="E39" t="str">
            <v> Tage</v>
          </cell>
          <cell r="O39" t="str">
            <v/>
          </cell>
        </row>
        <row r="41">
          <cell r="R41">
            <v>5.9</v>
          </cell>
        </row>
        <row r="43">
          <cell r="R43">
            <v>6.2</v>
          </cell>
        </row>
        <row r="46">
          <cell r="D46" t="str">
            <v>Kalbin</v>
          </cell>
          <cell r="F46" t="str">
            <v>Stier</v>
          </cell>
        </row>
        <row r="47">
          <cell r="O47">
            <v>290</v>
          </cell>
          <cell r="P47">
            <v>330</v>
          </cell>
        </row>
        <row r="49">
          <cell r="O49" t="str">
            <v>mittel</v>
          </cell>
          <cell r="P49" t="str">
            <v>mittel</v>
          </cell>
        </row>
        <row r="51">
          <cell r="O51">
            <v>0.5</v>
          </cell>
          <cell r="P51">
            <v>0.53</v>
          </cell>
        </row>
        <row r="56">
          <cell r="B56" t="str">
            <v>KF-Gaben </v>
          </cell>
          <cell r="K56" t="str">
            <v>Beiträge</v>
          </cell>
          <cell r="O56">
            <v>42</v>
          </cell>
          <cell r="P56">
            <v>0.22</v>
          </cell>
          <cell r="R56">
            <v>14</v>
          </cell>
        </row>
        <row r="58">
          <cell r="B58" t="str">
            <v>Mineralstoffe</v>
          </cell>
          <cell r="K58" t="str">
            <v>Sonstige Kosten</v>
          </cell>
          <cell r="O58">
            <v>11</v>
          </cell>
          <cell r="P58">
            <v>0.9</v>
          </cell>
          <cell r="R58">
            <v>48</v>
          </cell>
        </row>
        <row r="60">
          <cell r="B60" t="str">
            <v>Tierarzt Med.</v>
          </cell>
          <cell r="K60" t="str">
            <v>Alpung, Transportkosten....</v>
          </cell>
          <cell r="P60">
            <v>17</v>
          </cell>
          <cell r="R60">
            <v>32</v>
          </cell>
        </row>
        <row r="62">
          <cell r="B62" t="str">
            <v>Deckgeld</v>
          </cell>
          <cell r="K62" t="str">
            <v>Schlachtung</v>
          </cell>
          <cell r="P62">
            <v>30</v>
          </cell>
          <cell r="R62">
            <v>41</v>
          </cell>
        </row>
        <row r="64">
          <cell r="B64" t="str">
            <v>Versicherung</v>
          </cell>
          <cell r="K64" t="str">
            <v>Mischpakete </v>
          </cell>
          <cell r="R64">
            <v>33</v>
          </cell>
        </row>
        <row r="67">
          <cell r="B67" t="str">
            <v>Variable Kosten je MJ NEL</v>
          </cell>
          <cell r="P67">
            <v>0.015</v>
          </cell>
        </row>
        <row r="71">
          <cell r="B71" t="str">
            <v>Mutterkuhprämie</v>
          </cell>
          <cell r="F71" t="str">
            <v>Stallarbeit</v>
          </cell>
          <cell r="O71">
            <v>230</v>
          </cell>
          <cell r="Q71">
            <v>30</v>
          </cell>
        </row>
        <row r="73">
          <cell r="B73" t="str">
            <v>Schlachtprämie</v>
          </cell>
          <cell r="F73" t="str">
            <v>Außenwirtschaft</v>
          </cell>
          <cell r="O73">
            <v>50</v>
          </cell>
          <cell r="Q73">
            <v>14</v>
          </cell>
        </row>
        <row r="75">
          <cell r="B75" t="str">
            <v>Gefährdete Tierrassen</v>
          </cell>
          <cell r="F75" t="str">
            <v>Selbstvermarktung</v>
          </cell>
          <cell r="O75">
            <v>20</v>
          </cell>
          <cell r="Q75">
            <v>4</v>
          </cell>
        </row>
      </sheetData>
      <sheetData sheetId="5">
        <row r="10">
          <cell r="D10">
            <v>65</v>
          </cell>
          <cell r="F10" t="str">
            <v>Stk.</v>
          </cell>
          <cell r="I10">
            <v>0.25</v>
          </cell>
          <cell r="M10">
            <v>35</v>
          </cell>
        </row>
        <row r="12">
          <cell r="D12">
            <v>78</v>
          </cell>
          <cell r="F12" t="str">
            <v>kg</v>
          </cell>
          <cell r="I12">
            <v>0.21</v>
          </cell>
          <cell r="M12">
            <v>56</v>
          </cell>
        </row>
        <row r="14">
          <cell r="D14">
            <v>3</v>
          </cell>
          <cell r="F14" t="str">
            <v>Stk.</v>
          </cell>
          <cell r="I14">
            <v>11.2</v>
          </cell>
        </row>
        <row r="16">
          <cell r="D16">
            <v>0.2</v>
          </cell>
          <cell r="I16">
            <v>8</v>
          </cell>
        </row>
        <row r="18">
          <cell r="D18">
            <v>5</v>
          </cell>
          <cell r="F18" t="str">
            <v>Jahre</v>
          </cell>
          <cell r="I18">
            <v>14</v>
          </cell>
        </row>
        <row r="20">
          <cell r="D20">
            <v>43</v>
          </cell>
          <cell r="F20" t="str">
            <v>kg</v>
          </cell>
          <cell r="I20">
            <v>510</v>
          </cell>
        </row>
        <row r="22">
          <cell r="D22">
            <v>115</v>
          </cell>
          <cell r="F22" t="str">
            <v>Tage</v>
          </cell>
          <cell r="I22">
            <v>320</v>
          </cell>
        </row>
        <row r="24">
          <cell r="D24">
            <v>1</v>
          </cell>
          <cell r="F24" t="str">
            <v>€</v>
          </cell>
          <cell r="I24">
            <v>42</v>
          </cell>
        </row>
        <row r="26">
          <cell r="D26">
            <v>1.75</v>
          </cell>
          <cell r="F26" t="str">
            <v>€</v>
          </cell>
          <cell r="I26">
            <v>0.09</v>
          </cell>
          <cell r="M26">
            <v>0.85</v>
          </cell>
        </row>
        <row r="28">
          <cell r="D28">
            <v>3</v>
          </cell>
          <cell r="F28" t="str">
            <v>kg</v>
          </cell>
          <cell r="I28">
            <v>6</v>
          </cell>
        </row>
        <row r="30">
          <cell r="D30">
            <v>0.75</v>
          </cell>
          <cell r="F30" t="str">
            <v>€</v>
          </cell>
          <cell r="I30">
            <v>15</v>
          </cell>
        </row>
        <row r="32">
          <cell r="F32" t="str">
            <v>€</v>
          </cell>
          <cell r="I32">
            <v>3250</v>
          </cell>
          <cell r="K32" t="str">
            <v>MJ ME für 180 Stallhaltungstage</v>
          </cell>
        </row>
        <row r="34">
          <cell r="D34">
            <v>180</v>
          </cell>
        </row>
        <row r="36">
          <cell r="B36" t="str">
            <v>Mutterschafprämie</v>
          </cell>
          <cell r="D36">
            <v>22.7</v>
          </cell>
          <cell r="I36">
            <v>0.02</v>
          </cell>
        </row>
        <row r="43">
          <cell r="D43">
            <v>4</v>
          </cell>
        </row>
        <row r="45">
          <cell r="F45">
            <v>3.5</v>
          </cell>
        </row>
        <row r="47">
          <cell r="F47">
            <v>1.5</v>
          </cell>
        </row>
      </sheetData>
      <sheetData sheetId="6">
        <row r="12">
          <cell r="D12" t="str">
            <v>Dauergrünland 1-schnittig</v>
          </cell>
        </row>
        <row r="14">
          <cell r="D14">
            <v>130</v>
          </cell>
        </row>
        <row r="16">
          <cell r="D16">
            <v>3.5</v>
          </cell>
        </row>
        <row r="18">
          <cell r="D18">
            <v>3.5</v>
          </cell>
        </row>
        <row r="20">
          <cell r="D20">
            <v>2.7</v>
          </cell>
        </row>
        <row r="22">
          <cell r="D22" t="str">
            <v>Festmist</v>
          </cell>
        </row>
        <row r="24">
          <cell r="D24">
            <v>0.2</v>
          </cell>
        </row>
        <row r="41">
          <cell r="R41">
            <v>8</v>
          </cell>
        </row>
        <row r="43">
          <cell r="R43">
            <v>50</v>
          </cell>
        </row>
        <row r="45">
          <cell r="R45">
            <v>16</v>
          </cell>
        </row>
        <row r="47">
          <cell r="S47">
            <v>0.1</v>
          </cell>
        </row>
        <row r="49">
          <cell r="F49">
            <v>100</v>
          </cell>
          <cell r="I49" t="str">
            <v>dt</v>
          </cell>
          <cell r="S49">
            <v>100</v>
          </cell>
        </row>
        <row r="52">
          <cell r="D52" t="str">
            <v>Jauche</v>
          </cell>
        </row>
        <row r="69">
          <cell r="R69">
            <v>7</v>
          </cell>
        </row>
        <row r="71">
          <cell r="R71">
            <v>50</v>
          </cell>
        </row>
        <row r="73">
          <cell r="R73">
            <v>15</v>
          </cell>
        </row>
        <row r="75">
          <cell r="S75">
            <v>0.1</v>
          </cell>
        </row>
        <row r="77">
          <cell r="F77">
            <v>8</v>
          </cell>
          <cell r="I77" t="str">
            <v>m³</v>
          </cell>
          <cell r="S77">
            <v>8</v>
          </cell>
        </row>
        <row r="94">
          <cell r="U94" t="str">
            <v>L1</v>
          </cell>
          <cell r="V94" t="str">
            <v>x</v>
          </cell>
          <cell r="W94" t="str">
            <v>KW</v>
          </cell>
          <cell r="X94" t="str">
            <v>Standardtraktor</v>
          </cell>
          <cell r="Y94">
            <v>45</v>
          </cell>
          <cell r="Z94" t="str">
            <v>45 KW</v>
          </cell>
          <cell r="AA94">
            <v>7.34</v>
          </cell>
        </row>
        <row r="95">
          <cell r="U95" t="str">
            <v>L2</v>
          </cell>
          <cell r="V95" t="str">
            <v>x</v>
          </cell>
          <cell r="W95" t="str">
            <v>m</v>
          </cell>
          <cell r="X95" t="str">
            <v>Frontlader</v>
          </cell>
          <cell r="Y95">
            <v>1</v>
          </cell>
          <cell r="Z95" t="str">
            <v>1 m</v>
          </cell>
          <cell r="AA95">
            <v>0.48</v>
          </cell>
        </row>
        <row r="96">
          <cell r="U96" t="str">
            <v/>
          </cell>
          <cell r="V96" t="str">
            <v/>
          </cell>
          <cell r="W96" t="str">
            <v>KW</v>
          </cell>
          <cell r="X96" t="str">
            <v>Standardtraktor</v>
          </cell>
          <cell r="Y96">
            <v>45</v>
          </cell>
          <cell r="Z96" t="str">
            <v>45 KW</v>
          </cell>
          <cell r="AA96">
            <v>7.34</v>
          </cell>
        </row>
        <row r="97">
          <cell r="U97" t="str">
            <v/>
          </cell>
          <cell r="V97" t="str">
            <v/>
          </cell>
          <cell r="W97" t="str">
            <v>t</v>
          </cell>
          <cell r="X97" t="str">
            <v>Miststreuer</v>
          </cell>
          <cell r="Y97">
            <v>4</v>
          </cell>
          <cell r="Z97" t="str">
            <v>4 t</v>
          </cell>
          <cell r="AA97">
            <v>2.14</v>
          </cell>
        </row>
        <row r="98">
          <cell r="U98" t="str">
            <v/>
          </cell>
          <cell r="V98" t="str">
            <v/>
          </cell>
          <cell r="W98" t="str">
            <v/>
          </cell>
          <cell r="X98" t="str">
            <v/>
          </cell>
          <cell r="Y98" t="str">
            <v/>
          </cell>
          <cell r="Z98" t="str">
            <v> </v>
          </cell>
          <cell r="AA98" t="str">
            <v/>
          </cell>
        </row>
        <row r="99">
          <cell r="U99" t="str">
            <v/>
          </cell>
          <cell r="V99" t="str">
            <v/>
          </cell>
          <cell r="W99" t="str">
            <v/>
          </cell>
          <cell r="X99" t="str">
            <v/>
          </cell>
          <cell r="Y99" t="str">
            <v/>
          </cell>
          <cell r="Z99" t="str">
            <v> </v>
          </cell>
          <cell r="AA99" t="str">
            <v/>
          </cell>
        </row>
        <row r="101">
          <cell r="AB101">
            <v>2</v>
          </cell>
        </row>
        <row r="102">
          <cell r="U102" t="str">
            <v/>
          </cell>
          <cell r="V102" t="str">
            <v/>
          </cell>
          <cell r="W102" t="str">
            <v>KW</v>
          </cell>
          <cell r="X102" t="str">
            <v>Standardtraktor</v>
          </cell>
          <cell r="Y102">
            <v>45</v>
          </cell>
          <cell r="Z102" t="str">
            <v>45 KW</v>
          </cell>
          <cell r="AA102">
            <v>7.34</v>
          </cell>
        </row>
        <row r="103">
          <cell r="U103" t="str">
            <v/>
          </cell>
          <cell r="V103" t="str">
            <v/>
          </cell>
          <cell r="W103" t="str">
            <v>m</v>
          </cell>
          <cell r="X103" t="str">
            <v>Frontlader</v>
          </cell>
          <cell r="Y103">
            <v>1</v>
          </cell>
          <cell r="Z103" t="str">
            <v>1 m</v>
          </cell>
          <cell r="AA103">
            <v>0.48</v>
          </cell>
        </row>
        <row r="104">
          <cell r="U104" t="str">
            <v>T1</v>
          </cell>
          <cell r="V104" t="str">
            <v>x</v>
          </cell>
          <cell r="W104" t="str">
            <v>KW</v>
          </cell>
          <cell r="X104" t="str">
            <v>Standardtraktor</v>
          </cell>
          <cell r="Y104">
            <v>45</v>
          </cell>
          <cell r="Z104" t="str">
            <v>45 KW</v>
          </cell>
          <cell r="AA104">
            <v>7.34</v>
          </cell>
        </row>
        <row r="105">
          <cell r="U105" t="str">
            <v>T2</v>
          </cell>
          <cell r="V105" t="str">
            <v>x</v>
          </cell>
          <cell r="W105" t="str">
            <v>t</v>
          </cell>
          <cell r="X105" t="str">
            <v>Miststreuer</v>
          </cell>
          <cell r="Y105">
            <v>4</v>
          </cell>
          <cell r="Z105" t="str">
            <v>4 t</v>
          </cell>
          <cell r="AA105">
            <v>2.14</v>
          </cell>
        </row>
        <row r="106">
          <cell r="U106" t="str">
            <v/>
          </cell>
          <cell r="V106" t="str">
            <v/>
          </cell>
          <cell r="W106" t="str">
            <v/>
          </cell>
          <cell r="X106" t="str">
            <v/>
          </cell>
          <cell r="Y106" t="str">
            <v/>
          </cell>
          <cell r="Z106" t="str">
            <v> </v>
          </cell>
          <cell r="AA106" t="str">
            <v/>
          </cell>
        </row>
        <row r="107">
          <cell r="U107" t="str">
            <v/>
          </cell>
          <cell r="V107" t="str">
            <v/>
          </cell>
          <cell r="W107" t="str">
            <v/>
          </cell>
          <cell r="X107" t="str">
            <v/>
          </cell>
          <cell r="Y107" t="str">
            <v/>
          </cell>
          <cell r="Z107" t="str">
            <v> </v>
          </cell>
          <cell r="AA107" t="str">
            <v/>
          </cell>
        </row>
        <row r="109">
          <cell r="AB109">
            <v>2</v>
          </cell>
        </row>
        <row r="110">
          <cell r="U110" t="str">
            <v/>
          </cell>
          <cell r="V110" t="str">
            <v/>
          </cell>
          <cell r="W110" t="str">
            <v>KW</v>
          </cell>
          <cell r="X110" t="str">
            <v>Standardtraktor</v>
          </cell>
          <cell r="Y110">
            <v>45</v>
          </cell>
          <cell r="Z110" t="str">
            <v>45 KW</v>
          </cell>
          <cell r="AA110">
            <v>7.34</v>
          </cell>
        </row>
        <row r="111">
          <cell r="U111" t="str">
            <v/>
          </cell>
          <cell r="V111" t="str">
            <v/>
          </cell>
          <cell r="W111" t="str">
            <v>m</v>
          </cell>
          <cell r="X111" t="str">
            <v>Frontlader</v>
          </cell>
          <cell r="Y111">
            <v>1</v>
          </cell>
          <cell r="Z111" t="str">
            <v>1 m</v>
          </cell>
          <cell r="AA111">
            <v>0.48</v>
          </cell>
        </row>
        <row r="112">
          <cell r="U112" t="str">
            <v>A1</v>
          </cell>
          <cell r="V112" t="str">
            <v>x</v>
          </cell>
          <cell r="W112" t="str">
            <v>KW</v>
          </cell>
          <cell r="X112" t="str">
            <v>Standardtraktor</v>
          </cell>
          <cell r="Y112">
            <v>45</v>
          </cell>
          <cell r="Z112" t="str">
            <v>45 KW</v>
          </cell>
          <cell r="AA112">
            <v>7.34</v>
          </cell>
        </row>
        <row r="113">
          <cell r="U113" t="str">
            <v>A2</v>
          </cell>
          <cell r="V113" t="str">
            <v>x</v>
          </cell>
          <cell r="W113" t="str">
            <v>t</v>
          </cell>
          <cell r="X113" t="str">
            <v>Miststreuer</v>
          </cell>
          <cell r="Y113">
            <v>4</v>
          </cell>
          <cell r="Z113" t="str">
            <v>4 t</v>
          </cell>
          <cell r="AA113">
            <v>2.14</v>
          </cell>
        </row>
        <row r="114">
          <cell r="U114" t="str">
            <v/>
          </cell>
          <cell r="V114" t="str">
            <v/>
          </cell>
          <cell r="W114" t="str">
            <v/>
          </cell>
          <cell r="X114" t="str">
            <v/>
          </cell>
          <cell r="Y114" t="str">
            <v/>
          </cell>
          <cell r="Z114" t="str">
            <v> </v>
          </cell>
          <cell r="AA114" t="str">
            <v/>
          </cell>
        </row>
        <row r="115">
          <cell r="U115" t="str">
            <v/>
          </cell>
          <cell r="V115" t="str">
            <v/>
          </cell>
          <cell r="W115" t="str">
            <v/>
          </cell>
          <cell r="X115" t="str">
            <v/>
          </cell>
          <cell r="Y115" t="str">
            <v/>
          </cell>
          <cell r="Z115" t="str">
            <v> </v>
          </cell>
          <cell r="AA115" t="str">
            <v/>
          </cell>
        </row>
        <row r="117">
          <cell r="AB117">
            <v>2</v>
          </cell>
        </row>
        <row r="119">
          <cell r="X119">
            <v>4</v>
          </cell>
          <cell r="Y119" t="str">
            <v> t</v>
          </cell>
        </row>
        <row r="127">
          <cell r="U127" t="str">
            <v>L1</v>
          </cell>
          <cell r="V127" t="str">
            <v>x</v>
          </cell>
          <cell r="W127" t="str">
            <v>KW</v>
          </cell>
          <cell r="X127" t="str">
            <v>Standardtraktor</v>
          </cell>
          <cell r="Y127">
            <v>45</v>
          </cell>
          <cell r="Z127" t="str">
            <v>45 KW</v>
          </cell>
          <cell r="AA127">
            <v>7.34</v>
          </cell>
        </row>
        <row r="128">
          <cell r="U128" t="str">
            <v>L2</v>
          </cell>
          <cell r="V128" t="str">
            <v>x</v>
          </cell>
          <cell r="W128" t="str">
            <v>lt</v>
          </cell>
          <cell r="X128" t="str">
            <v>Vakuumfass</v>
          </cell>
          <cell r="Y128">
            <v>3000</v>
          </cell>
          <cell r="Z128" t="str">
            <v>3000 lt</v>
          </cell>
          <cell r="AA128">
            <v>1.26</v>
          </cell>
        </row>
        <row r="129">
          <cell r="U129" t="str">
            <v/>
          </cell>
          <cell r="V129" t="str">
            <v/>
          </cell>
          <cell r="W129" t="str">
            <v/>
          </cell>
          <cell r="X129" t="str">
            <v/>
          </cell>
          <cell r="Y129" t="str">
            <v/>
          </cell>
          <cell r="Z129" t="str">
            <v> </v>
          </cell>
          <cell r="AA129" t="str">
            <v/>
          </cell>
        </row>
        <row r="130">
          <cell r="U130" t="str">
            <v/>
          </cell>
          <cell r="V130" t="str">
            <v/>
          </cell>
          <cell r="W130" t="str">
            <v/>
          </cell>
          <cell r="X130" t="str">
            <v/>
          </cell>
          <cell r="Y130" t="str">
            <v/>
          </cell>
          <cell r="Z130" t="str">
            <v> </v>
          </cell>
          <cell r="AA130" t="str">
            <v/>
          </cell>
        </row>
        <row r="131">
          <cell r="U131" t="str">
            <v/>
          </cell>
          <cell r="V131" t="str">
            <v/>
          </cell>
          <cell r="W131" t="str">
            <v/>
          </cell>
          <cell r="X131" t="str">
            <v/>
          </cell>
          <cell r="Y131" t="str">
            <v/>
          </cell>
          <cell r="Z131" t="str">
            <v> </v>
          </cell>
          <cell r="AA131" t="str">
            <v/>
          </cell>
        </row>
        <row r="132">
          <cell r="U132" t="str">
            <v/>
          </cell>
          <cell r="V132" t="str">
            <v/>
          </cell>
          <cell r="W132" t="str">
            <v/>
          </cell>
          <cell r="X132" t="str">
            <v/>
          </cell>
          <cell r="Y132" t="str">
            <v/>
          </cell>
          <cell r="Z132" t="str">
            <v> </v>
          </cell>
          <cell r="AA132" t="str">
            <v/>
          </cell>
        </row>
        <row r="134">
          <cell r="AB134">
            <v>2</v>
          </cell>
        </row>
        <row r="135">
          <cell r="U135" t="str">
            <v>T1</v>
          </cell>
          <cell r="V135" t="str">
            <v>x</v>
          </cell>
          <cell r="W135" t="str">
            <v>KW</v>
          </cell>
          <cell r="X135" t="str">
            <v>Standardtraktor</v>
          </cell>
          <cell r="Y135">
            <v>45</v>
          </cell>
          <cell r="Z135" t="str">
            <v>45 KW</v>
          </cell>
          <cell r="AA135">
            <v>7.34</v>
          </cell>
        </row>
        <row r="136">
          <cell r="U136" t="str">
            <v>T2</v>
          </cell>
          <cell r="V136" t="str">
            <v>x</v>
          </cell>
          <cell r="W136" t="str">
            <v>lt</v>
          </cell>
          <cell r="X136" t="str">
            <v>Vakuumfass</v>
          </cell>
          <cell r="Y136">
            <v>3000</v>
          </cell>
          <cell r="Z136" t="str">
            <v>3000 lt</v>
          </cell>
          <cell r="AA136">
            <v>1.26</v>
          </cell>
        </row>
        <row r="137">
          <cell r="U137" t="str">
            <v/>
          </cell>
          <cell r="V137" t="str">
            <v/>
          </cell>
          <cell r="W137" t="str">
            <v/>
          </cell>
          <cell r="X137" t="str">
            <v/>
          </cell>
          <cell r="Y137" t="str">
            <v/>
          </cell>
          <cell r="Z137" t="str">
            <v> </v>
          </cell>
          <cell r="AA137" t="str">
            <v/>
          </cell>
        </row>
        <row r="138">
          <cell r="U138" t="str">
            <v/>
          </cell>
          <cell r="V138" t="str">
            <v/>
          </cell>
          <cell r="W138" t="str">
            <v/>
          </cell>
          <cell r="X138" t="str">
            <v/>
          </cell>
          <cell r="Y138" t="str">
            <v/>
          </cell>
          <cell r="Z138" t="str">
            <v> </v>
          </cell>
          <cell r="AA138" t="str">
            <v/>
          </cell>
        </row>
        <row r="139">
          <cell r="U139" t="str">
            <v/>
          </cell>
          <cell r="V139" t="str">
            <v/>
          </cell>
          <cell r="W139" t="str">
            <v/>
          </cell>
          <cell r="X139" t="str">
            <v/>
          </cell>
          <cell r="Y139" t="str">
            <v/>
          </cell>
          <cell r="Z139" t="str">
            <v> </v>
          </cell>
          <cell r="AA139" t="str">
            <v/>
          </cell>
        </row>
        <row r="140">
          <cell r="U140" t="str">
            <v/>
          </cell>
          <cell r="V140" t="str">
            <v/>
          </cell>
          <cell r="W140" t="str">
            <v/>
          </cell>
          <cell r="X140" t="str">
            <v/>
          </cell>
          <cell r="Y140" t="str">
            <v/>
          </cell>
          <cell r="Z140" t="str">
            <v> </v>
          </cell>
          <cell r="AA140" t="str">
            <v/>
          </cell>
        </row>
        <row r="142">
          <cell r="AB142">
            <v>2</v>
          </cell>
        </row>
        <row r="143">
          <cell r="U143" t="str">
            <v>A1</v>
          </cell>
          <cell r="V143" t="str">
            <v>x</v>
          </cell>
          <cell r="W143" t="str">
            <v>KW</v>
          </cell>
          <cell r="X143" t="str">
            <v>Standardtraktor</v>
          </cell>
          <cell r="Y143">
            <v>45</v>
          </cell>
          <cell r="Z143" t="str">
            <v>45 KW</v>
          </cell>
          <cell r="AA143">
            <v>7.34</v>
          </cell>
        </row>
        <row r="144">
          <cell r="U144" t="str">
            <v>A2</v>
          </cell>
          <cell r="V144" t="str">
            <v>x</v>
          </cell>
          <cell r="W144" t="str">
            <v>lt</v>
          </cell>
          <cell r="X144" t="str">
            <v>Vakuumfass</v>
          </cell>
          <cell r="Y144">
            <v>3000</v>
          </cell>
          <cell r="Z144" t="str">
            <v>3000 lt</v>
          </cell>
          <cell r="AA144">
            <v>1.26</v>
          </cell>
        </row>
        <row r="145">
          <cell r="U145" t="str">
            <v/>
          </cell>
          <cell r="V145" t="str">
            <v/>
          </cell>
          <cell r="W145" t="str">
            <v/>
          </cell>
          <cell r="X145" t="str">
            <v/>
          </cell>
          <cell r="Y145" t="str">
            <v/>
          </cell>
          <cell r="Z145" t="str">
            <v> </v>
          </cell>
          <cell r="AA145" t="str">
            <v/>
          </cell>
        </row>
        <row r="146">
          <cell r="U146" t="str">
            <v/>
          </cell>
          <cell r="V146" t="str">
            <v/>
          </cell>
          <cell r="W146" t="str">
            <v/>
          </cell>
          <cell r="X146" t="str">
            <v/>
          </cell>
          <cell r="Y146" t="str">
            <v/>
          </cell>
          <cell r="Z146" t="str">
            <v> </v>
          </cell>
          <cell r="AA146" t="str">
            <v/>
          </cell>
        </row>
        <row r="147">
          <cell r="U147" t="str">
            <v/>
          </cell>
          <cell r="V147" t="str">
            <v/>
          </cell>
          <cell r="W147" t="str">
            <v/>
          </cell>
          <cell r="X147" t="str">
            <v/>
          </cell>
          <cell r="Y147" t="str">
            <v/>
          </cell>
          <cell r="Z147" t="str">
            <v> </v>
          </cell>
          <cell r="AA147" t="str">
            <v/>
          </cell>
        </row>
        <row r="148">
          <cell r="U148" t="str">
            <v/>
          </cell>
          <cell r="V148" t="str">
            <v/>
          </cell>
          <cell r="W148" t="str">
            <v/>
          </cell>
          <cell r="X148" t="str">
            <v/>
          </cell>
          <cell r="Y148" t="str">
            <v/>
          </cell>
          <cell r="Z148" t="str">
            <v> </v>
          </cell>
          <cell r="AA148" t="str">
            <v/>
          </cell>
        </row>
        <row r="150">
          <cell r="AB150">
            <v>2</v>
          </cell>
        </row>
        <row r="152">
          <cell r="X152">
            <v>3000</v>
          </cell>
          <cell r="Y152" t="str">
            <v> lt</v>
          </cell>
        </row>
      </sheetData>
      <sheetData sheetId="7">
        <row r="12">
          <cell r="F12">
            <v>1</v>
          </cell>
          <cell r="H12" t="str">
            <v>Dauergrünland 1-schnittig</v>
          </cell>
        </row>
        <row r="14">
          <cell r="F14">
            <v>1</v>
          </cell>
        </row>
        <row r="16">
          <cell r="F16">
            <v>0.86</v>
          </cell>
          <cell r="H16" t="str">
            <v>Heu</v>
          </cell>
        </row>
        <row r="18">
          <cell r="F18">
            <v>0.2</v>
          </cell>
        </row>
        <row r="21">
          <cell r="H21">
            <v>7.34</v>
          </cell>
        </row>
        <row r="23">
          <cell r="H23" t="str">
            <v/>
          </cell>
        </row>
        <row r="25">
          <cell r="H25" t="str">
            <v/>
          </cell>
        </row>
        <row r="28">
          <cell r="H28">
            <v>45</v>
          </cell>
          <cell r="J28" t="str">
            <v/>
          </cell>
          <cell r="L28" t="str">
            <v/>
          </cell>
        </row>
        <row r="32">
          <cell r="C32" t="str">
            <v>  Festmist</v>
          </cell>
          <cell r="Q32">
            <v>4.933333333333334</v>
          </cell>
        </row>
        <row r="34">
          <cell r="C34" t="str">
            <v>  Jauche</v>
          </cell>
          <cell r="Q34">
            <v>3.2</v>
          </cell>
        </row>
        <row r="36">
          <cell r="C36" t="str">
            <v>  Abschleppen</v>
          </cell>
          <cell r="H36" t="str">
            <v>x</v>
          </cell>
          <cell r="N36">
            <v>0.92</v>
          </cell>
          <cell r="Q36">
            <v>2.5</v>
          </cell>
        </row>
        <row r="38">
          <cell r="C38" t="str">
            <v>  Pflegearbeiten</v>
          </cell>
          <cell r="N38" t="str">
            <v/>
          </cell>
          <cell r="Q38">
            <v>4</v>
          </cell>
        </row>
        <row r="40">
          <cell r="N40" t="str">
            <v/>
          </cell>
          <cell r="Q40" t="str">
            <v/>
          </cell>
        </row>
        <row r="42">
          <cell r="C42" t="str">
            <v>  Mähen</v>
          </cell>
          <cell r="H42" t="str">
            <v>x</v>
          </cell>
          <cell r="N42">
            <v>1.76</v>
          </cell>
          <cell r="Q42">
            <v>2.5</v>
          </cell>
        </row>
        <row r="44">
          <cell r="C44" t="str">
            <v>  Zetten&amp;Wenden</v>
          </cell>
          <cell r="H44" t="str">
            <v>x</v>
          </cell>
          <cell r="N44">
            <v>1.5</v>
          </cell>
          <cell r="Q44">
            <v>3</v>
          </cell>
        </row>
        <row r="46">
          <cell r="C46" t="str">
            <v>  Schwaden</v>
          </cell>
          <cell r="H46" t="str">
            <v>x</v>
          </cell>
          <cell r="N46">
            <v>0.71</v>
          </cell>
          <cell r="Q46">
            <v>2</v>
          </cell>
        </row>
        <row r="48">
          <cell r="C48" t="str">
            <v>  Laden&amp;Transport</v>
          </cell>
          <cell r="H48" t="str">
            <v>x</v>
          </cell>
          <cell r="N48">
            <v>4.2</v>
          </cell>
          <cell r="Q48">
            <v>6</v>
          </cell>
        </row>
        <row r="50">
          <cell r="C50" t="str">
            <v>  Einlagern</v>
          </cell>
          <cell r="H50" t="str">
            <v>x</v>
          </cell>
          <cell r="N50">
            <v>1.83</v>
          </cell>
          <cell r="Q50">
            <v>4</v>
          </cell>
        </row>
        <row r="52">
          <cell r="N52" t="str">
            <v/>
          </cell>
          <cell r="Q52" t="str">
            <v/>
          </cell>
        </row>
        <row r="54">
          <cell r="N54" t="str">
            <v/>
          </cell>
          <cell r="Q54" t="str">
            <v/>
          </cell>
        </row>
        <row r="56">
          <cell r="N56" t="str">
            <v/>
          </cell>
          <cell r="Q56" t="str">
            <v/>
          </cell>
        </row>
        <row r="58">
          <cell r="N58" t="str">
            <v/>
          </cell>
          <cell r="Q58" t="str">
            <v/>
          </cell>
        </row>
        <row r="61">
          <cell r="B61" t="str">
            <v>Belüftungskosten</v>
          </cell>
          <cell r="Q61">
            <v>0.009</v>
          </cell>
        </row>
        <row r="65">
          <cell r="Q65">
            <v>3500</v>
          </cell>
        </row>
        <row r="67">
          <cell r="Q67">
            <v>0.2</v>
          </cell>
        </row>
        <row r="69">
          <cell r="F69">
            <v>4.95</v>
          </cell>
        </row>
        <row r="73">
          <cell r="Q73" t="str">
            <v/>
          </cell>
          <cell r="R73" t="str">
            <v/>
          </cell>
        </row>
        <row r="75">
          <cell r="Q75" t="str">
            <v/>
          </cell>
          <cell r="R75" t="str">
            <v/>
          </cell>
        </row>
        <row r="78">
          <cell r="Q78" t="str">
            <v/>
          </cell>
          <cell r="R78" t="str">
            <v/>
          </cell>
        </row>
        <row r="80">
          <cell r="Q80" t="str">
            <v/>
          </cell>
          <cell r="R80" t="str">
            <v/>
          </cell>
        </row>
        <row r="82">
          <cell r="Q82" t="str">
            <v/>
          </cell>
          <cell r="R82" t="str">
            <v/>
          </cell>
        </row>
        <row r="85">
          <cell r="Q85" t="str">
            <v/>
          </cell>
        </row>
        <row r="87">
          <cell r="Q87" t="str">
            <v/>
          </cell>
        </row>
        <row r="89">
          <cell r="Q89" t="str">
            <v/>
          </cell>
        </row>
      </sheetData>
      <sheetData sheetId="8">
        <row r="12">
          <cell r="C12" t="str">
            <v>Marille - Jogurt</v>
          </cell>
        </row>
        <row r="15">
          <cell r="B15" t="str">
            <v>Glasgröße</v>
          </cell>
          <cell r="M15">
            <v>0.5</v>
          </cell>
        </row>
        <row r="17">
          <cell r="B17" t="str">
            <v>Verkaufsmenge</v>
          </cell>
          <cell r="M17">
            <v>100</v>
          </cell>
        </row>
        <row r="19">
          <cell r="B19" t="str">
            <v>Verkaufserlös</v>
          </cell>
          <cell r="M19">
            <v>1.4</v>
          </cell>
        </row>
        <row r="22">
          <cell r="B22" t="str">
            <v>Rohmilch</v>
          </cell>
          <cell r="M22">
            <v>0.34</v>
          </cell>
          <cell r="N22" t="str">
            <v>pro lt</v>
          </cell>
        </row>
        <row r="25">
          <cell r="B25" t="str">
            <v>Glas</v>
          </cell>
          <cell r="J25" t="str">
            <v>/ Stk.</v>
          </cell>
          <cell r="O25">
            <v>0.3</v>
          </cell>
        </row>
        <row r="27">
          <cell r="B27" t="str">
            <v>Deckel</v>
          </cell>
          <cell r="J27" t="str">
            <v>/ Stk.</v>
          </cell>
          <cell r="O27">
            <v>0.06</v>
          </cell>
        </row>
        <row r="29">
          <cell r="B29" t="str">
            <v>Jogurtkultur</v>
          </cell>
          <cell r="J29" t="str">
            <v>/ Kaffeelöffel</v>
          </cell>
          <cell r="N29">
            <v>5</v>
          </cell>
          <cell r="O29">
            <v>0.6</v>
          </cell>
        </row>
        <row r="31">
          <cell r="B31" t="str">
            <v>Geschmackszutaten: Marille </v>
          </cell>
          <cell r="J31" t="str">
            <v>/ kg</v>
          </cell>
          <cell r="N31">
            <v>1.6</v>
          </cell>
          <cell r="O31">
            <v>19</v>
          </cell>
        </row>
        <row r="33">
          <cell r="B33" t="str">
            <v>Zucker</v>
          </cell>
          <cell r="J33" t="str">
            <v>/ kg</v>
          </cell>
          <cell r="N33">
            <v>0.5</v>
          </cell>
          <cell r="O33">
            <v>1</v>
          </cell>
        </row>
        <row r="35">
          <cell r="B35" t="str">
            <v>Strom</v>
          </cell>
          <cell r="J35" t="str">
            <v>/ KWh</v>
          </cell>
          <cell r="N35">
            <v>48</v>
          </cell>
          <cell r="O35">
            <v>0.15</v>
          </cell>
        </row>
        <row r="37">
          <cell r="B37" t="str">
            <v>Wasser (inkl. Abwasser)</v>
          </cell>
          <cell r="J37" t="str">
            <v>/ m³</v>
          </cell>
          <cell r="N37">
            <v>3</v>
          </cell>
          <cell r="O37">
            <v>1.8</v>
          </cell>
        </row>
        <row r="39">
          <cell r="B39" t="str">
            <v/>
          </cell>
          <cell r="N39" t="str">
            <v/>
          </cell>
          <cell r="O39" t="str">
            <v/>
          </cell>
        </row>
        <row r="41">
          <cell r="B41" t="str">
            <v/>
          </cell>
          <cell r="J41" t="str">
            <v/>
          </cell>
          <cell r="N41" t="str">
            <v/>
          </cell>
          <cell r="O41" t="str">
            <v/>
          </cell>
        </row>
        <row r="44">
          <cell r="B44" t="str">
            <v>Arbeitszeitbedarf für Herstellung und Abfüllung</v>
          </cell>
          <cell r="N44">
            <v>16</v>
          </cell>
          <cell r="O44">
            <v>100</v>
          </cell>
        </row>
        <row r="46">
          <cell r="B46" t="str">
            <v>Lohnansatz</v>
          </cell>
          <cell r="N46">
            <v>7.5</v>
          </cell>
          <cell r="O46" t="str">
            <v>je Akh</v>
          </cell>
        </row>
        <row r="49">
          <cell r="B49" t="str">
            <v>Pasteur</v>
          </cell>
          <cell r="N49">
            <v>820</v>
          </cell>
          <cell r="O49" t="str">
            <v>/Jahr</v>
          </cell>
        </row>
        <row r="51">
          <cell r="B51" t="str">
            <v>Kühlschrank</v>
          </cell>
          <cell r="N51">
            <v>240</v>
          </cell>
          <cell r="O51" t="str">
            <v>/Jahr</v>
          </cell>
        </row>
        <row r="53">
          <cell r="B53" t="str">
            <v>Geschirrspüler</v>
          </cell>
          <cell r="N53">
            <v>290</v>
          </cell>
          <cell r="O53" t="str">
            <v>/Jahr</v>
          </cell>
        </row>
        <row r="56">
          <cell r="B56" t="str">
            <v>Gemein- und Vermarktungskostenzuschlag</v>
          </cell>
          <cell r="N56">
            <v>0.02</v>
          </cell>
          <cell r="O56" t="str">
            <v>der Herstellungskosten</v>
          </cell>
        </row>
        <row r="58">
          <cell r="B58" t="str">
            <v>Gewinn- und Risikozuschlag</v>
          </cell>
          <cell r="N58">
            <v>0.03</v>
          </cell>
          <cell r="O58" t="str">
            <v>der Vollkosten</v>
          </cell>
        </row>
      </sheetData>
      <sheetData sheetId="9">
        <row r="12">
          <cell r="C12" t="str">
            <v>Standardtraktor</v>
          </cell>
        </row>
        <row r="15">
          <cell r="C15">
            <v>45</v>
          </cell>
          <cell r="D15" t="str">
            <v>KW</v>
          </cell>
        </row>
        <row r="17">
          <cell r="J17">
            <v>26450</v>
          </cell>
        </row>
        <row r="19">
          <cell r="G19">
            <v>160</v>
          </cell>
          <cell r="J19">
            <v>1994</v>
          </cell>
          <cell r="K19">
            <v>160</v>
          </cell>
        </row>
        <row r="21">
          <cell r="G21">
            <v>2007</v>
          </cell>
          <cell r="J21">
            <v>16</v>
          </cell>
        </row>
        <row r="24">
          <cell r="J24">
            <v>0.01</v>
          </cell>
          <cell r="K24">
            <v>0.03</v>
          </cell>
        </row>
        <row r="26">
          <cell r="J26" t="str">
            <v/>
          </cell>
          <cell r="K26">
            <v>4.21</v>
          </cell>
        </row>
        <row r="28">
          <cell r="G28">
            <v>0.008</v>
          </cell>
        </row>
        <row r="30">
          <cell r="J30">
            <v>0.01</v>
          </cell>
        </row>
        <row r="32">
          <cell r="J32" t="str">
            <v/>
          </cell>
        </row>
      </sheetData>
      <sheetData sheetId="10">
        <row r="12">
          <cell r="C12" t="str">
            <v>Motormäher</v>
          </cell>
        </row>
        <row r="15">
          <cell r="C15">
            <v>4</v>
          </cell>
          <cell r="D15" t="str">
            <v>KW</v>
          </cell>
        </row>
        <row r="17">
          <cell r="J17">
            <v>680</v>
          </cell>
        </row>
        <row r="19">
          <cell r="G19">
            <v>24</v>
          </cell>
          <cell r="J19">
            <v>1992</v>
          </cell>
          <cell r="K19">
            <v>24</v>
          </cell>
        </row>
        <row r="21">
          <cell r="G21">
            <v>2007</v>
          </cell>
          <cell r="J21">
            <v>15</v>
          </cell>
        </row>
        <row r="24">
          <cell r="J24">
            <v>0.01</v>
          </cell>
          <cell r="K24">
            <v>0.03</v>
          </cell>
        </row>
        <row r="26">
          <cell r="J26" t="str">
            <v/>
          </cell>
          <cell r="K26">
            <v>0.68</v>
          </cell>
        </row>
        <row r="28">
          <cell r="G28">
            <v>0.08</v>
          </cell>
        </row>
        <row r="30">
          <cell r="J30">
            <v>0.01</v>
          </cell>
        </row>
        <row r="32">
          <cell r="J32" t="str">
            <v/>
          </cell>
        </row>
      </sheetData>
      <sheetData sheetId="11">
        <row r="12">
          <cell r="C12" t="str">
            <v>Betriebsversicherungen</v>
          </cell>
          <cell r="N12">
            <v>320</v>
          </cell>
        </row>
        <row r="14">
          <cell r="C14" t="str">
            <v>Betriebssteuern und -abgaben</v>
          </cell>
          <cell r="N14">
            <v>298</v>
          </cell>
        </row>
        <row r="15">
          <cell r="C15" t="str">
            <v>Abschreibung</v>
          </cell>
        </row>
        <row r="16">
          <cell r="C16" t="str">
            <v>              Grundverbesserungen</v>
          </cell>
        </row>
        <row r="17">
          <cell r="C17" t="str">
            <v>              Betriebs- und Geschäftsausstattung</v>
          </cell>
        </row>
        <row r="18">
          <cell r="C18" t="str">
            <v>              Maschinen</v>
          </cell>
        </row>
        <row r="19">
          <cell r="C19" t="str">
            <v>              Gebäude</v>
          </cell>
        </row>
        <row r="20">
          <cell r="C20" t="str">
            <v>Gebäudereparaturen</v>
          </cell>
          <cell r="N20">
            <v>600</v>
          </cell>
        </row>
        <row r="22">
          <cell r="C22" t="str">
            <v>Pachtzinse</v>
          </cell>
          <cell r="N22">
            <v>450</v>
          </cell>
        </row>
        <row r="24">
          <cell r="C24" t="str">
            <v>Schuldzinse</v>
          </cell>
          <cell r="N24" t="str">
            <v/>
          </cell>
        </row>
        <row r="26">
          <cell r="C26" t="str">
            <v>Ausgedingelasten</v>
          </cell>
          <cell r="N26" t="str">
            <v/>
          </cell>
        </row>
        <row r="28">
          <cell r="C28" t="str">
            <v>Vewaltungskosten</v>
          </cell>
          <cell r="N28" t="str">
            <v/>
          </cell>
        </row>
        <row r="30">
          <cell r="N30" t="str">
            <v/>
          </cell>
        </row>
        <row r="32">
          <cell r="N32" t="str">
            <v/>
          </cell>
        </row>
      </sheetData>
      <sheetData sheetId="12">
        <row r="14">
          <cell r="D14" t="str">
            <v>RINDER</v>
          </cell>
        </row>
        <row r="18">
          <cell r="C18" t="str">
            <v>Milchkühe</v>
          </cell>
          <cell r="E18">
            <v>4</v>
          </cell>
          <cell r="K18">
            <v>4</v>
          </cell>
          <cell r="S18">
            <v>1180</v>
          </cell>
          <cell r="T18">
            <v>1180</v>
          </cell>
        </row>
        <row r="20">
          <cell r="C20" t="str">
            <v>Kalbinnen</v>
          </cell>
          <cell r="E20">
            <v>2</v>
          </cell>
          <cell r="K20">
            <v>3</v>
          </cell>
          <cell r="S20">
            <v>1295</v>
          </cell>
          <cell r="T20">
            <v>1295</v>
          </cell>
        </row>
        <row r="22">
          <cell r="C22" t="str">
            <v>Jungvieh 1 - 2 Jahre</v>
          </cell>
          <cell r="E22">
            <v>1</v>
          </cell>
          <cell r="K22">
            <v>1</v>
          </cell>
          <cell r="S22">
            <v>860</v>
          </cell>
          <cell r="T22">
            <v>860</v>
          </cell>
        </row>
        <row r="24">
          <cell r="C24" t="str">
            <v>Jungvieh bis 1 Jahr</v>
          </cell>
          <cell r="E24">
            <v>1</v>
          </cell>
          <cell r="K24">
            <v>2</v>
          </cell>
          <cell r="S24">
            <v>650</v>
          </cell>
          <cell r="T24">
            <v>650</v>
          </cell>
        </row>
        <row r="26">
          <cell r="C26" t="str">
            <v>Einsteller</v>
          </cell>
          <cell r="E26">
            <v>4</v>
          </cell>
          <cell r="K26">
            <v>2</v>
          </cell>
          <cell r="S26">
            <v>198</v>
          </cell>
          <cell r="T26">
            <v>198</v>
          </cell>
        </row>
        <row r="28">
          <cell r="S28" t="str">
            <v/>
          </cell>
          <cell r="T28" t="str">
            <v/>
          </cell>
        </row>
        <row r="30">
          <cell r="S30" t="str">
            <v/>
          </cell>
          <cell r="T30" t="str">
            <v/>
          </cell>
        </row>
        <row r="36">
          <cell r="C36" t="str">
            <v>Mastschweine</v>
          </cell>
          <cell r="E36">
            <v>4</v>
          </cell>
          <cell r="K36">
            <v>3</v>
          </cell>
          <cell r="S36">
            <v>165</v>
          </cell>
          <cell r="T36">
            <v>165</v>
          </cell>
        </row>
        <row r="38">
          <cell r="S38" t="str">
            <v/>
          </cell>
          <cell r="T38" t="str">
            <v/>
          </cell>
        </row>
        <row r="40">
          <cell r="S40" t="str">
            <v/>
          </cell>
          <cell r="T40" t="str">
            <v/>
          </cell>
        </row>
        <row r="42">
          <cell r="S42" t="str">
            <v/>
          </cell>
          <cell r="T42" t="str">
            <v/>
          </cell>
        </row>
        <row r="44">
          <cell r="S44" t="str">
            <v/>
          </cell>
          <cell r="T44" t="str">
            <v/>
          </cell>
        </row>
        <row r="50">
          <cell r="C50" t="str">
            <v>Gerste</v>
          </cell>
          <cell r="E50">
            <v>25</v>
          </cell>
          <cell r="K50">
            <v>100</v>
          </cell>
          <cell r="S50">
            <v>0.13</v>
          </cell>
          <cell r="T50">
            <v>0.13</v>
          </cell>
        </row>
        <row r="52">
          <cell r="C52" t="str">
            <v>Hafer</v>
          </cell>
          <cell r="E52">
            <v>4</v>
          </cell>
          <cell r="K52">
            <v>25</v>
          </cell>
          <cell r="S52">
            <v>0.14</v>
          </cell>
          <cell r="T52">
            <v>0.14</v>
          </cell>
        </row>
        <row r="54">
          <cell r="C54" t="str">
            <v>Kartoffel</v>
          </cell>
          <cell r="E54">
            <v>1450</v>
          </cell>
          <cell r="K54">
            <v>650</v>
          </cell>
          <cell r="S54">
            <v>0.07</v>
          </cell>
          <cell r="T54">
            <v>0.07</v>
          </cell>
        </row>
        <row r="56">
          <cell r="S56" t="str">
            <v/>
          </cell>
          <cell r="T56" t="str">
            <v/>
          </cell>
        </row>
        <row r="58">
          <cell r="S58" t="str">
            <v/>
          </cell>
          <cell r="T58" t="str">
            <v/>
          </cell>
        </row>
        <row r="64">
          <cell r="C64" t="str">
            <v>Milchkraftfutter</v>
          </cell>
          <cell r="E64">
            <v>260</v>
          </cell>
          <cell r="K64">
            <v>600</v>
          </cell>
          <cell r="S64">
            <v>0.26</v>
          </cell>
          <cell r="T64">
            <v>0.26</v>
          </cell>
        </row>
        <row r="66">
          <cell r="C66" t="str">
            <v>Weizenschrot</v>
          </cell>
          <cell r="E66">
            <v>169</v>
          </cell>
          <cell r="K66">
            <v>300</v>
          </cell>
          <cell r="S66">
            <v>0.23</v>
          </cell>
          <cell r="T66">
            <v>0.23</v>
          </cell>
        </row>
        <row r="68">
          <cell r="C68" t="str">
            <v>Erbsenschrot</v>
          </cell>
          <cell r="E68">
            <v>55</v>
          </cell>
          <cell r="K68">
            <v>100</v>
          </cell>
          <cell r="S68">
            <v>0.22</v>
          </cell>
          <cell r="T68">
            <v>0.22</v>
          </cell>
        </row>
        <row r="70">
          <cell r="S70" t="str">
            <v/>
          </cell>
          <cell r="T70" t="str">
            <v/>
          </cell>
        </row>
        <row r="72">
          <cell r="S72" t="str">
            <v/>
          </cell>
          <cell r="T72" t="str">
            <v/>
          </cell>
        </row>
        <row r="76">
          <cell r="C76" t="str">
            <v>Kassa</v>
          </cell>
          <cell r="S76">
            <v>1265</v>
          </cell>
        </row>
        <row r="78">
          <cell r="C78" t="str">
            <v>Girokonto</v>
          </cell>
          <cell r="S78">
            <v>4300</v>
          </cell>
        </row>
        <row r="80">
          <cell r="C80" t="str">
            <v>Offene Forderungen: Lagerhaus</v>
          </cell>
          <cell r="S80">
            <v>789</v>
          </cell>
        </row>
        <row r="82">
          <cell r="C82" t="str">
            <v>Verbindlichkeiten Futtermittellieferanten</v>
          </cell>
          <cell r="S82">
            <v>980</v>
          </cell>
        </row>
        <row r="84">
          <cell r="C84" t="str">
            <v>Darlehen</v>
          </cell>
          <cell r="S84">
            <v>3460</v>
          </cell>
        </row>
        <row r="86">
          <cell r="S86" t="str">
            <v/>
          </cell>
        </row>
        <row r="88">
          <cell r="S88" t="str">
            <v/>
          </cell>
        </row>
      </sheetData>
      <sheetData sheetId="13">
        <row r="1">
          <cell r="A1">
            <v>2007</v>
          </cell>
        </row>
        <row r="12">
          <cell r="B12" t="str">
            <v>Grundverbesserungen</v>
          </cell>
        </row>
        <row r="15">
          <cell r="C15" t="str">
            <v>Maulwurfsdrainage</v>
          </cell>
          <cell r="H15">
            <v>1984</v>
          </cell>
          <cell r="L15">
            <v>20</v>
          </cell>
          <cell r="Q15">
            <v>850</v>
          </cell>
        </row>
        <row r="17">
          <cell r="Q17" t="str">
            <v/>
          </cell>
        </row>
        <row r="19">
          <cell r="B19" t="str">
            <v>Gebäude und bauliche Anlagen</v>
          </cell>
        </row>
        <row r="22">
          <cell r="C22" t="str">
            <v>Rinderstall (Warmstall)</v>
          </cell>
        </row>
        <row r="24">
          <cell r="C24" t="str">
            <v>Schweinestall</v>
          </cell>
          <cell r="E24">
            <v>350</v>
          </cell>
          <cell r="H24">
            <v>1982</v>
          </cell>
          <cell r="L24">
            <v>40</v>
          </cell>
          <cell r="Q24">
            <v>36113</v>
          </cell>
        </row>
        <row r="26">
          <cell r="C26" t="str">
            <v>Milchverarbeitungsraum</v>
          </cell>
          <cell r="H26">
            <v>1999</v>
          </cell>
          <cell r="L26">
            <v>30</v>
          </cell>
          <cell r="Q26">
            <v>5235</v>
          </cell>
        </row>
        <row r="28">
          <cell r="C28" t="str">
            <v>Maschinenschuppen</v>
          </cell>
          <cell r="H28">
            <v>1970</v>
          </cell>
          <cell r="L28">
            <v>40</v>
          </cell>
          <cell r="Q28">
            <v>4520</v>
          </cell>
        </row>
        <row r="30">
          <cell r="C30" t="str">
            <v>Garage mit Lagerraum</v>
          </cell>
          <cell r="H30">
            <v>1999</v>
          </cell>
          <cell r="L30">
            <v>25</v>
          </cell>
          <cell r="Q30">
            <v>19600</v>
          </cell>
        </row>
        <row r="32">
          <cell r="Q32" t="str">
            <v/>
          </cell>
        </row>
        <row r="34">
          <cell r="Q34" t="str">
            <v/>
          </cell>
        </row>
        <row r="36">
          <cell r="Q36" t="str">
            <v/>
          </cell>
        </row>
        <row r="38">
          <cell r="B38" t="str">
            <v>Maschinen und Geräte</v>
          </cell>
        </row>
        <row r="41">
          <cell r="C41" t="str">
            <v>Standardtraktor</v>
          </cell>
          <cell r="E41">
            <v>45</v>
          </cell>
          <cell r="F41" t="str">
            <v>KW</v>
          </cell>
          <cell r="H41">
            <v>1994</v>
          </cell>
          <cell r="L41">
            <v>16</v>
          </cell>
          <cell r="Q41">
            <v>26450</v>
          </cell>
        </row>
        <row r="43">
          <cell r="F43" t="str">
            <v/>
          </cell>
          <cell r="Q43" t="str">
            <v/>
          </cell>
        </row>
        <row r="45">
          <cell r="F45" t="str">
            <v/>
          </cell>
          <cell r="Q45" t="str">
            <v/>
          </cell>
        </row>
        <row r="47">
          <cell r="C47" t="str">
            <v>Motormäher</v>
          </cell>
          <cell r="E47">
            <v>4</v>
          </cell>
          <cell r="F47" t="str">
            <v>KW</v>
          </cell>
          <cell r="H47">
            <v>1992</v>
          </cell>
          <cell r="L47">
            <v>15</v>
          </cell>
          <cell r="Q47">
            <v>680</v>
          </cell>
        </row>
        <row r="49">
          <cell r="C49" t="str">
            <v>Ladewagen</v>
          </cell>
          <cell r="E49">
            <v>20</v>
          </cell>
          <cell r="F49" t="str">
            <v>m³</v>
          </cell>
          <cell r="H49">
            <v>1992</v>
          </cell>
          <cell r="L49">
            <v>14</v>
          </cell>
          <cell r="Q49">
            <v>5900</v>
          </cell>
        </row>
        <row r="51">
          <cell r="C51" t="str">
            <v>Miststreuer</v>
          </cell>
          <cell r="E51">
            <v>4</v>
          </cell>
          <cell r="F51" t="str">
            <v>t</v>
          </cell>
          <cell r="H51">
            <v>1987</v>
          </cell>
          <cell r="L51">
            <v>16</v>
          </cell>
          <cell r="Q51">
            <v>2100</v>
          </cell>
        </row>
        <row r="53">
          <cell r="C53" t="str">
            <v>Mähwerk</v>
          </cell>
          <cell r="E53">
            <v>1.65</v>
          </cell>
          <cell r="F53" t="str">
            <v>m</v>
          </cell>
          <cell r="H53">
            <v>1998</v>
          </cell>
          <cell r="L53">
            <v>12</v>
          </cell>
          <cell r="Q53">
            <v>281</v>
          </cell>
        </row>
        <row r="55">
          <cell r="C55" t="str">
            <v>Kreiselzetter</v>
          </cell>
          <cell r="E55">
            <v>2.8</v>
          </cell>
          <cell r="F55" t="str">
            <v>m</v>
          </cell>
          <cell r="H55">
            <v>1991</v>
          </cell>
          <cell r="L55">
            <v>13</v>
          </cell>
          <cell r="Q55">
            <v>1985</v>
          </cell>
        </row>
        <row r="57">
          <cell r="C57" t="str">
            <v>Heuraupe</v>
          </cell>
          <cell r="E57">
            <v>1.8</v>
          </cell>
          <cell r="F57" t="str">
            <v>m</v>
          </cell>
          <cell r="H57">
            <v>1994</v>
          </cell>
          <cell r="L57">
            <v>15</v>
          </cell>
          <cell r="Q57">
            <v>2230</v>
          </cell>
        </row>
        <row r="59">
          <cell r="C59" t="str">
            <v>Pflug</v>
          </cell>
          <cell r="E59">
            <v>2</v>
          </cell>
          <cell r="F59" t="str">
            <v>- scharig</v>
          </cell>
          <cell r="H59">
            <v>1997</v>
          </cell>
          <cell r="L59">
            <v>14</v>
          </cell>
          <cell r="Q59">
            <v>1580</v>
          </cell>
        </row>
        <row r="61">
          <cell r="C61" t="str">
            <v>Vakuumfass</v>
          </cell>
          <cell r="E61">
            <v>3000</v>
          </cell>
          <cell r="F61" t="str">
            <v>lt</v>
          </cell>
          <cell r="H61">
            <v>1980</v>
          </cell>
          <cell r="L61">
            <v>15</v>
          </cell>
          <cell r="Q61">
            <v>1640</v>
          </cell>
        </row>
        <row r="63">
          <cell r="C63" t="str">
            <v>Gebläse</v>
          </cell>
          <cell r="E63">
            <v>4.8</v>
          </cell>
          <cell r="F63" t="str">
            <v>KW</v>
          </cell>
          <cell r="H63">
            <v>1982</v>
          </cell>
          <cell r="L63">
            <v>15</v>
          </cell>
          <cell r="Q63">
            <v>2200</v>
          </cell>
        </row>
        <row r="65">
          <cell r="C65" t="str">
            <v>Butterfass</v>
          </cell>
          <cell r="E65">
            <v>4.5</v>
          </cell>
          <cell r="F65" t="str">
            <v>lt</v>
          </cell>
          <cell r="H65">
            <v>1994</v>
          </cell>
          <cell r="L65">
            <v>20</v>
          </cell>
          <cell r="Q65">
            <v>1100</v>
          </cell>
        </row>
        <row r="67">
          <cell r="C67" t="str">
            <v>Zentrifuge</v>
          </cell>
          <cell r="E67">
            <v>9</v>
          </cell>
          <cell r="F67" t="str">
            <v>lt</v>
          </cell>
          <cell r="H67">
            <v>1982</v>
          </cell>
          <cell r="L67">
            <v>20</v>
          </cell>
          <cell r="Q67">
            <v>790</v>
          </cell>
        </row>
        <row r="69">
          <cell r="C69" t="str">
            <v>Melkmaschine</v>
          </cell>
          <cell r="E69">
            <v>1.25</v>
          </cell>
          <cell r="F69" t="str">
            <v>KW</v>
          </cell>
          <cell r="H69">
            <v>1996</v>
          </cell>
          <cell r="L69">
            <v>20</v>
          </cell>
          <cell r="Q69">
            <v>1850</v>
          </cell>
        </row>
        <row r="71">
          <cell r="C71" t="str">
            <v>Motorsäge</v>
          </cell>
          <cell r="E71">
            <v>3.2</v>
          </cell>
          <cell r="F71" t="str">
            <v>KW</v>
          </cell>
          <cell r="H71">
            <v>1994</v>
          </cell>
          <cell r="L71">
            <v>12</v>
          </cell>
          <cell r="Q71">
            <v>665</v>
          </cell>
        </row>
        <row r="73">
          <cell r="C73" t="str">
            <v>PKW-Anhänger</v>
          </cell>
          <cell r="E73">
            <v>650</v>
          </cell>
          <cell r="F73" t="str">
            <v>kg</v>
          </cell>
          <cell r="H73">
            <v>1998</v>
          </cell>
          <cell r="L73">
            <v>16</v>
          </cell>
          <cell r="Q73">
            <v>620</v>
          </cell>
        </row>
        <row r="75">
          <cell r="C75" t="str">
            <v>Frontlader</v>
          </cell>
          <cell r="E75">
            <v>1</v>
          </cell>
          <cell r="F75" t="str">
            <v>m</v>
          </cell>
          <cell r="H75">
            <v>1978</v>
          </cell>
          <cell r="L75">
            <v>16</v>
          </cell>
          <cell r="Q75">
            <v>950</v>
          </cell>
        </row>
        <row r="77">
          <cell r="C77" t="str">
            <v>Ackerschleppe</v>
          </cell>
          <cell r="E77">
            <v>3</v>
          </cell>
          <cell r="F77" t="str">
            <v>m</v>
          </cell>
          <cell r="H77">
            <v>1983</v>
          </cell>
          <cell r="L77">
            <v>16</v>
          </cell>
          <cell r="Q77">
            <v>425</v>
          </cell>
        </row>
        <row r="79">
          <cell r="F79" t="str">
            <v/>
          </cell>
          <cell r="Q79" t="str">
            <v/>
          </cell>
        </row>
      </sheetData>
      <sheetData sheetId="14">
        <row r="13">
          <cell r="C13" t="str">
            <v>Rinderstall (Warmstall)</v>
          </cell>
        </row>
        <row r="15">
          <cell r="I15">
            <v>1996</v>
          </cell>
        </row>
        <row r="17">
          <cell r="I17">
            <v>45</v>
          </cell>
        </row>
        <row r="19">
          <cell r="I19">
            <v>18</v>
          </cell>
        </row>
        <row r="21">
          <cell r="I21">
            <v>12</v>
          </cell>
        </row>
        <row r="23">
          <cell r="I23">
            <v>5</v>
          </cell>
        </row>
        <row r="27">
          <cell r="I27">
            <v>156</v>
          </cell>
        </row>
      </sheetData>
      <sheetData sheetId="15">
        <row r="14">
          <cell r="E14" t="str">
            <v>Lebenshaltungekosten (18 200,00 €) &lt; Gesamteinkommen (24 446,85 €)</v>
          </cell>
        </row>
        <row r="16">
          <cell r="E16" t="str">
            <v>x</v>
          </cell>
        </row>
        <row r="19">
          <cell r="E19" t="str">
            <v/>
          </cell>
        </row>
        <row r="21">
          <cell r="E21" t="str">
            <v/>
          </cell>
        </row>
        <row r="25">
          <cell r="E25" t="str">
            <v>Kapitaldienst (452,00 €) &lt; Kapitaldienstgrenze (6 334,85 €)</v>
          </cell>
        </row>
        <row r="27">
          <cell r="E27" t="str">
            <v/>
          </cell>
        </row>
        <row r="30">
          <cell r="E30" t="str">
            <v>x</v>
          </cell>
        </row>
        <row r="33">
          <cell r="E33" t="str">
            <v/>
          </cell>
        </row>
        <row r="38">
          <cell r="E38" t="str">
            <v/>
          </cell>
        </row>
        <row r="40">
          <cell r="E40" t="str">
            <v>x</v>
          </cell>
        </row>
        <row r="49">
          <cell r="E49" t="str">
            <v>Kapitalkosten (2 851,34 €) &gt; Leistung der Investition (-1 679,27 €)</v>
          </cell>
        </row>
        <row r="51">
          <cell r="E51" t="str">
            <v/>
          </cell>
        </row>
        <row r="53">
          <cell r="E53" t="str">
            <v/>
          </cell>
        </row>
        <row r="55">
          <cell r="E55" t="str">
            <v>x</v>
          </cell>
        </row>
        <row r="57">
          <cell r="E57" t="str">
            <v/>
          </cell>
        </row>
        <row r="60">
          <cell r="E60" t="str">
            <v>x</v>
          </cell>
        </row>
        <row r="62">
          <cell r="E62" t="str">
            <v/>
          </cell>
        </row>
        <row r="69">
          <cell r="E69" t="str">
            <v>Kapitaldienst für die Investition (801,13 €) &lt; Kapitaldienstgrenze Planvariante (4 655,57 €)</v>
          </cell>
        </row>
        <row r="71">
          <cell r="E71" t="str">
            <v/>
          </cell>
        </row>
        <row r="73">
          <cell r="E73" t="str">
            <v/>
          </cell>
        </row>
        <row r="76">
          <cell r="E76" t="str">
            <v>x</v>
          </cell>
        </row>
        <row r="81">
          <cell r="E81" t="str">
            <v>x</v>
          </cell>
        </row>
        <row r="83">
          <cell r="E83" t="str">
            <v/>
          </cell>
        </row>
        <row r="85">
          <cell r="H85">
            <v>1</v>
          </cell>
        </row>
        <row r="90">
          <cell r="E90" t="str">
            <v>Künftiger AKh-Bedarf (1 046 €) &lt; Künftige Ausstattung mit AKh (2 000 €)</v>
          </cell>
        </row>
        <row r="92">
          <cell r="E92" t="str">
            <v/>
          </cell>
        </row>
        <row r="94">
          <cell r="E94" t="str">
            <v>x</v>
          </cell>
        </row>
        <row r="96">
          <cell r="E96" t="str">
            <v/>
          </cell>
        </row>
        <row r="100">
          <cell r="E100" t="str">
            <v>x</v>
          </cell>
        </row>
        <row r="102">
          <cell r="E102" t="str">
            <v/>
          </cell>
        </row>
        <row r="107">
          <cell r="E107" t="str">
            <v>Die Energiebilanz (436 400) ist positiv!</v>
          </cell>
        </row>
        <row r="109">
          <cell r="E109" t="str">
            <v/>
          </cell>
        </row>
        <row r="111">
          <cell r="E111" t="str">
            <v/>
          </cell>
        </row>
        <row r="113">
          <cell r="E113" t="str">
            <v>x</v>
          </cell>
        </row>
        <row r="115">
          <cell r="E115" t="str">
            <v/>
          </cell>
        </row>
        <row r="117">
          <cell r="E117" t="str">
            <v/>
          </cell>
        </row>
        <row r="125">
          <cell r="D125" t="str">
            <v>Grundverbesserungen</v>
          </cell>
          <cell r="H125">
            <v>1</v>
          </cell>
          <cell r="K125" t="str">
            <v>Verbindlichkeiten Futtermittellieferanten</v>
          </cell>
          <cell r="M125">
            <v>980</v>
          </cell>
        </row>
        <row r="127">
          <cell r="D127" t="str">
            <v>Gebäude und bauliche Anlagen</v>
          </cell>
          <cell r="H127">
            <v>145614.775</v>
          </cell>
          <cell r="K127" t="str">
            <v>Darlehen</v>
          </cell>
          <cell r="M127">
            <v>3460</v>
          </cell>
        </row>
        <row r="129">
          <cell r="D129" t="str">
            <v>Maschinen und Geräte</v>
          </cell>
          <cell r="H129">
            <v>7277.1369047619055</v>
          </cell>
        </row>
        <row r="131">
          <cell r="D131" t="str">
            <v>RINDER</v>
          </cell>
          <cell r="H131">
            <v>9612</v>
          </cell>
        </row>
        <row r="133">
          <cell r="D133" t="str">
            <v>SCHWEINE</v>
          </cell>
          <cell r="H133">
            <v>660</v>
          </cell>
        </row>
        <row r="135">
          <cell r="D135" t="str">
            <v>Selbst erzeugte Vorräte</v>
          </cell>
          <cell r="H135">
            <v>105.31000000000002</v>
          </cell>
        </row>
        <row r="137">
          <cell r="D137" t="str">
            <v>Zugekaufte Vorräte</v>
          </cell>
          <cell r="H137">
            <v>118.57000000000001</v>
          </cell>
        </row>
        <row r="139">
          <cell r="D139" t="str">
            <v>Kassa</v>
          </cell>
          <cell r="H139">
            <v>1265</v>
          </cell>
        </row>
        <row r="141">
          <cell r="D141" t="str">
            <v>Girokonto</v>
          </cell>
          <cell r="H141">
            <v>4300</v>
          </cell>
        </row>
        <row r="143">
          <cell r="D143" t="str">
            <v>Offene Forderungen: Lagerhaus</v>
          </cell>
          <cell r="H143">
            <v>789</v>
          </cell>
        </row>
        <row r="152">
          <cell r="S152" t="str">
            <v>BEZIRKSGERICHT Imst, GRUNDBUCH 02567 Roppen</v>
          </cell>
        </row>
        <row r="154">
          <cell r="E154" t="str">
            <v>x</v>
          </cell>
          <cell r="S154" t="str">
            <v>BEZIRKSGERICHT Imst, GRUNDBUCH 02345 Mils</v>
          </cell>
        </row>
        <row r="156">
          <cell r="S156" t="str">
            <v>BEZIRKSGERICHT Landeck, GRUNDBUCH 04345 Landeck</v>
          </cell>
        </row>
        <row r="158">
          <cell r="S158" t="str">
            <v>BEZIRKSGERICHT Innsbruck, GRUNDBUCH 02345 Völs</v>
          </cell>
        </row>
        <row r="162">
          <cell r="E162">
            <v>422</v>
          </cell>
        </row>
        <row r="165">
          <cell r="H165">
            <v>1998</v>
          </cell>
        </row>
        <row r="168">
          <cell r="E168" t="str">
            <v>x</v>
          </cell>
        </row>
        <row r="179">
          <cell r="E179" t="str">
            <v>A1-Blatt</v>
          </cell>
        </row>
        <row r="181">
          <cell r="E181" t="str">
            <v>Gutsbestandsblatt</v>
          </cell>
        </row>
        <row r="184">
          <cell r="E184" t="str">
            <v>A2-Blatt</v>
          </cell>
        </row>
        <row r="187">
          <cell r="E187">
            <v>10</v>
          </cell>
        </row>
        <row r="190">
          <cell r="E190">
            <v>84745</v>
          </cell>
        </row>
        <row r="192">
          <cell r="E192">
            <v>8.4745</v>
          </cell>
        </row>
        <row r="195">
          <cell r="E195" t="str">
            <v>B-Blatt</v>
          </cell>
        </row>
        <row r="197">
          <cell r="E197" t="str">
            <v>Eigentumsblatt</v>
          </cell>
        </row>
        <row r="200">
          <cell r="S200" t="str">
            <v>Meier Franz-Josef</v>
          </cell>
        </row>
        <row r="201">
          <cell r="E201">
            <v>1</v>
          </cell>
          <cell r="S201" t="str">
            <v>Burger Josef</v>
          </cell>
        </row>
        <row r="202">
          <cell r="S202" t="str">
            <v>Silberbauer Hans</v>
          </cell>
        </row>
        <row r="203">
          <cell r="E203" t="str">
            <v>Burger Eva Maria</v>
          </cell>
          <cell r="S203" t="str">
            <v>Jäger Franziska</v>
          </cell>
        </row>
        <row r="204">
          <cell r="S204" t="str">
            <v>Burger Eva Maria</v>
          </cell>
        </row>
        <row r="205">
          <cell r="E205" t="str">
            <v>1/1</v>
          </cell>
          <cell r="S205" t="str">
            <v>Huber Josef</v>
          </cell>
        </row>
        <row r="206">
          <cell r="S206" t="str">
            <v>Neururer Alexandra</v>
          </cell>
        </row>
        <row r="208">
          <cell r="E208" t="str">
            <v>C-Blatt</v>
          </cell>
        </row>
        <row r="210">
          <cell r="E210" t="str">
            <v>Lastenblatt</v>
          </cell>
        </row>
        <row r="211">
          <cell r="S211" t="str">
            <v>Wasserrecht</v>
          </cell>
        </row>
        <row r="212">
          <cell r="S212" t="str">
            <v>Fischereirecht</v>
          </cell>
        </row>
        <row r="213">
          <cell r="S213" t="str">
            <v>Weiderecht</v>
          </cell>
        </row>
        <row r="214">
          <cell r="E214" t="str">
            <v>Wegerecht</v>
          </cell>
          <cell r="S214" t="str">
            <v>Wegerecht</v>
          </cell>
        </row>
        <row r="215">
          <cell r="S215" t="str">
            <v>Holzbringungsrecht</v>
          </cell>
        </row>
        <row r="216">
          <cell r="H216">
            <v>901</v>
          </cell>
          <cell r="S216" t="str">
            <v>Fruchtgenussrecht</v>
          </cell>
        </row>
        <row r="218">
          <cell r="H218">
            <v>902</v>
          </cell>
        </row>
        <row r="220">
          <cell r="E220" t="str">
            <v>x</v>
          </cell>
          <cell r="H220" t="str">
            <v>903/4</v>
          </cell>
        </row>
        <row r="222">
          <cell r="E222" t="str">
            <v/>
          </cell>
        </row>
        <row r="225">
          <cell r="E225" t="str">
            <v>Weiderecht</v>
          </cell>
        </row>
        <row r="227">
          <cell r="H227" t="str">
            <v>1010/4</v>
          </cell>
        </row>
        <row r="229">
          <cell r="H229" t="str">
            <v/>
          </cell>
        </row>
        <row r="231">
          <cell r="E231" t="str">
            <v>x</v>
          </cell>
          <cell r="H231" t="str">
            <v>Fraktion Strad</v>
          </cell>
        </row>
        <row r="233">
          <cell r="E233" t="str">
            <v/>
          </cell>
        </row>
        <row r="237">
          <cell r="E237" t="str">
            <v>Pfandrecht</v>
          </cell>
          <cell r="S237" t="str">
            <v>Wiederkaufsrecht</v>
          </cell>
          <cell r="X237" t="str">
            <v>RAIKA Schönwies</v>
          </cell>
        </row>
        <row r="238">
          <cell r="S238" t="str">
            <v>Weiderecht</v>
          </cell>
          <cell r="X238" t="str">
            <v>TIWAG </v>
          </cell>
        </row>
        <row r="239">
          <cell r="E239" t="str">
            <v>RAIKA Schönwies</v>
          </cell>
          <cell r="S239" t="str">
            <v>Immissionsverbot</v>
          </cell>
          <cell r="X239" t="str">
            <v>Elektrizitätswerk Mils-Schönwies</v>
          </cell>
        </row>
        <row r="240">
          <cell r="S240" t="str">
            <v>Fischereirecht</v>
          </cell>
          <cell r="X240" t="str">
            <v>Mobilkom Österreich</v>
          </cell>
        </row>
        <row r="241">
          <cell r="S241" t="str">
            <v>Pfandrecht</v>
          </cell>
          <cell r="X241" t="str">
            <v>Franz Josef Burger </v>
          </cell>
        </row>
        <row r="242">
          <cell r="E242" t="str">
            <v>Duldung einer elektrischen Hochspannungsleitung</v>
          </cell>
          <cell r="S242" t="str">
            <v>Wasserrecht</v>
          </cell>
          <cell r="X242" t="str">
            <v>ÖCI Aktiengesellschaft </v>
          </cell>
        </row>
        <row r="243">
          <cell r="S243" t="str">
            <v>Belastungsverbot</v>
          </cell>
          <cell r="X243" t="str">
            <v>Franz Burger </v>
          </cell>
        </row>
        <row r="244">
          <cell r="E244" t="str">
            <v>TIWAG </v>
          </cell>
          <cell r="S244" t="str">
            <v>Duldung einer elektrischen Hochspannungsleitung</v>
          </cell>
          <cell r="X244" t="str">
            <v>Gemeinde  Mils</v>
          </cell>
        </row>
        <row r="245">
          <cell r="S245" t="str">
            <v>Vorkaufsrecht</v>
          </cell>
        </row>
        <row r="246">
          <cell r="S246" t="str">
            <v>Wegerecht</v>
          </cell>
        </row>
        <row r="247">
          <cell r="E247" t="str">
            <v>Belastungs- und Veräußerungsverbot</v>
          </cell>
          <cell r="S247" t="str">
            <v>Veräußerungsverbot</v>
          </cell>
        </row>
        <row r="248">
          <cell r="S248" t="str">
            <v>Holzbringungsrecht</v>
          </cell>
        </row>
        <row r="249">
          <cell r="E249" t="str">
            <v>Franz Josef Burger </v>
          </cell>
          <cell r="S249" t="str">
            <v>Duldung eines Handymasten</v>
          </cell>
        </row>
        <row r="250">
          <cell r="S250" t="str">
            <v>Wohnrecht</v>
          </cell>
        </row>
        <row r="251">
          <cell r="S251" t="str">
            <v>Belastungs- und Veräußerungsverbot</v>
          </cell>
        </row>
        <row r="252">
          <cell r="E252" t="str">
            <v>Pfandrecht</v>
          </cell>
          <cell r="S252" t="str">
            <v>Anschlusspflicht</v>
          </cell>
        </row>
        <row r="253">
          <cell r="S253" t="str">
            <v>Fruchtgenussrecht</v>
          </cell>
        </row>
        <row r="254">
          <cell r="E254" t="str">
            <v>ÖCI Aktiengesellschaft </v>
          </cell>
        </row>
        <row r="263">
          <cell r="E263" t="str">
            <v>x</v>
          </cell>
        </row>
        <row r="265">
          <cell r="E265" t="str">
            <v>Vorrang</v>
          </cell>
          <cell r="S265" t="str">
            <v>Rückreihung</v>
          </cell>
          <cell r="T265" t="str">
            <v>Vorrang</v>
          </cell>
          <cell r="U265" t="str">
            <v>Löschung</v>
          </cell>
          <cell r="V265" t="str">
            <v>Änderung</v>
          </cell>
        </row>
      </sheetData>
      <sheetData sheetId="16">
        <row r="6">
          <cell r="E6">
            <v>2385.466666666667</v>
          </cell>
          <cell r="G6">
            <v>-31973.470922879962</v>
          </cell>
          <cell r="I6">
            <v>1416.2516666666668</v>
          </cell>
        </row>
        <row r="7">
          <cell r="E7">
            <v>1562</v>
          </cell>
          <cell r="G7">
            <v>-57000</v>
          </cell>
          <cell r="I7">
            <v>120</v>
          </cell>
        </row>
        <row r="8">
          <cell r="E8">
            <v>40</v>
          </cell>
          <cell r="G8">
            <v>0</v>
          </cell>
          <cell r="I8">
            <v>46.5</v>
          </cell>
        </row>
        <row r="9">
          <cell r="E9">
            <v>112</v>
          </cell>
          <cell r="G9">
            <v>0</v>
          </cell>
          <cell r="I9">
            <v>12.8</v>
          </cell>
        </row>
        <row r="10">
          <cell r="E10">
            <v>900</v>
          </cell>
          <cell r="G10">
            <v>0</v>
          </cell>
          <cell r="I10">
            <v>85</v>
          </cell>
        </row>
        <row r="11">
          <cell r="E11" t="str">
            <v/>
          </cell>
          <cell r="G11" t="str">
            <v/>
          </cell>
          <cell r="I11" t="str">
            <v/>
          </cell>
        </row>
        <row r="12">
          <cell r="E12" t="str">
            <v/>
          </cell>
          <cell r="G12" t="str">
            <v/>
          </cell>
          <cell r="I12" t="str">
            <v/>
          </cell>
        </row>
        <row r="13">
          <cell r="E13">
            <v>-1018.75</v>
          </cell>
          <cell r="G13">
            <v>71375</v>
          </cell>
          <cell r="I13">
            <v>53.75</v>
          </cell>
        </row>
        <row r="14">
          <cell r="E14">
            <v>-2138.4</v>
          </cell>
          <cell r="G14">
            <v>154968</v>
          </cell>
          <cell r="I14">
            <v>141.9</v>
          </cell>
        </row>
        <row r="15">
          <cell r="E15">
            <v>-924.2305200000002</v>
          </cell>
          <cell r="G15">
            <v>37422</v>
          </cell>
          <cell r="I15">
            <v>81.76500000000001</v>
          </cell>
        </row>
        <row r="16">
          <cell r="E16" t="str">
            <v/>
          </cell>
          <cell r="G16" t="str">
            <v/>
          </cell>
          <cell r="I16" t="str">
            <v/>
          </cell>
        </row>
        <row r="17">
          <cell r="E17" t="str">
            <v/>
          </cell>
          <cell r="G17" t="str">
            <v/>
          </cell>
          <cell r="I17" t="str">
            <v/>
          </cell>
        </row>
        <row r="18">
          <cell r="E18" t="str">
            <v/>
          </cell>
          <cell r="G18" t="str">
            <v/>
          </cell>
          <cell r="I18" t="str">
            <v/>
          </cell>
        </row>
        <row r="19">
          <cell r="E19" t="str">
            <v/>
          </cell>
          <cell r="G19" t="str">
            <v/>
          </cell>
          <cell r="I19" t="str">
            <v/>
          </cell>
        </row>
        <row r="20">
          <cell r="E20">
            <v>918.0861466666669</v>
          </cell>
        </row>
        <row r="23">
          <cell r="G23">
            <v>174791.52907712004</v>
          </cell>
          <cell r="I23">
            <v>1957.966666666667</v>
          </cell>
        </row>
        <row r="26">
          <cell r="E26">
            <v>850</v>
          </cell>
        </row>
        <row r="32">
          <cell r="I32">
            <v>5794.845670476192</v>
          </cell>
        </row>
        <row r="35">
          <cell r="E35">
            <v>7765</v>
          </cell>
          <cell r="I35">
            <v>6334.845670476192</v>
          </cell>
        </row>
        <row r="37">
          <cell r="E37">
            <v>9533.086146666667</v>
          </cell>
        </row>
        <row r="39">
          <cell r="E39">
            <v>396.8456704761902</v>
          </cell>
        </row>
        <row r="40">
          <cell r="E40">
            <v>0.20268254676255476</v>
          </cell>
        </row>
        <row r="43">
          <cell r="E43">
            <v>24446.845670476192</v>
          </cell>
        </row>
      </sheetData>
      <sheetData sheetId="17">
        <row r="5">
          <cell r="E5">
            <v>1283.3333333333333</v>
          </cell>
        </row>
        <row r="6">
          <cell r="E6">
            <v>200</v>
          </cell>
        </row>
        <row r="7">
          <cell r="E7">
            <v>6340</v>
          </cell>
        </row>
        <row r="8">
          <cell r="E8" t="str">
            <v/>
          </cell>
        </row>
        <row r="9">
          <cell r="E9" t="str">
            <v/>
          </cell>
        </row>
        <row r="12">
          <cell r="C12">
            <v>56650</v>
          </cell>
          <cell r="E12">
            <v>7823.333333333333</v>
          </cell>
          <cell r="G12">
            <v>56650</v>
          </cell>
        </row>
        <row r="21">
          <cell r="E21">
            <v>5441.520000000001</v>
          </cell>
          <cell r="G21">
            <v>-208000</v>
          </cell>
          <cell r="I21">
            <v>468</v>
          </cell>
        </row>
        <row r="22">
          <cell r="E22">
            <v>1890</v>
          </cell>
          <cell r="G22">
            <v>0</v>
          </cell>
          <cell r="I22">
            <v>114.75</v>
          </cell>
        </row>
        <row r="23">
          <cell r="E23" t="str">
            <v/>
          </cell>
          <cell r="G23" t="str">
            <v/>
          </cell>
          <cell r="I23" t="str">
            <v/>
          </cell>
        </row>
        <row r="24">
          <cell r="E24" t="str">
            <v/>
          </cell>
          <cell r="G24" t="str">
            <v/>
          </cell>
          <cell r="I24" t="str">
            <v/>
          </cell>
        </row>
        <row r="25">
          <cell r="E25" t="str">
            <v/>
          </cell>
          <cell r="G25" t="str">
            <v/>
          </cell>
          <cell r="I25" t="str">
            <v/>
          </cell>
        </row>
        <row r="26">
          <cell r="E26" t="str">
            <v/>
          </cell>
          <cell r="I26" t="str">
            <v/>
          </cell>
        </row>
        <row r="28">
          <cell r="E28">
            <v>-3463.2000000000003</v>
          </cell>
          <cell r="G28">
            <v>307200</v>
          </cell>
          <cell r="I28">
            <v>122.4</v>
          </cell>
        </row>
        <row r="29">
          <cell r="E29">
            <v>-3499.2000000000003</v>
          </cell>
          <cell r="G29">
            <v>281760</v>
          </cell>
          <cell r="I29">
            <v>232.20000000000002</v>
          </cell>
        </row>
        <row r="30">
          <cell r="E30">
            <v>-1232.3073600000002</v>
          </cell>
          <cell r="G30">
            <v>55440</v>
          </cell>
          <cell r="I30">
            <v>109.02000000000001</v>
          </cell>
        </row>
        <row r="31">
          <cell r="E31" t="str">
            <v/>
          </cell>
          <cell r="G31" t="str">
            <v/>
          </cell>
          <cell r="I31" t="str">
            <v/>
          </cell>
        </row>
        <row r="32">
          <cell r="E32" t="str">
            <v/>
          </cell>
          <cell r="G32" t="str">
            <v/>
          </cell>
          <cell r="I32" t="str">
            <v/>
          </cell>
        </row>
        <row r="33">
          <cell r="E33" t="str">
            <v/>
          </cell>
          <cell r="G33" t="str">
            <v/>
          </cell>
          <cell r="I33" t="str">
            <v/>
          </cell>
        </row>
        <row r="34">
          <cell r="E34" t="str">
            <v/>
          </cell>
          <cell r="G34" t="str">
            <v/>
          </cell>
          <cell r="I34" t="str">
            <v/>
          </cell>
        </row>
        <row r="35">
          <cell r="E35">
            <v>-863.1873599999994</v>
          </cell>
        </row>
        <row r="38">
          <cell r="G38">
            <v>436400</v>
          </cell>
          <cell r="I38">
            <v>1046.3700000000001</v>
          </cell>
        </row>
        <row r="41">
          <cell r="E41">
            <v>1105</v>
          </cell>
        </row>
        <row r="46">
          <cell r="I46">
            <v>4655.572163809526</v>
          </cell>
        </row>
        <row r="49">
          <cell r="I49">
            <v>12000</v>
          </cell>
        </row>
        <row r="50">
          <cell r="E50">
            <v>7612</v>
          </cell>
        </row>
        <row r="52">
          <cell r="E52">
            <v>7853.81264</v>
          </cell>
        </row>
        <row r="56">
          <cell r="E56">
            <v>-16887.30960370741</v>
          </cell>
        </row>
        <row r="57">
          <cell r="E57">
            <v>-9275.30960370741</v>
          </cell>
        </row>
        <row r="58">
          <cell r="E58">
            <v>-8.864273252967315</v>
          </cell>
        </row>
        <row r="61">
          <cell r="E61">
            <v>28254.69039629259</v>
          </cell>
        </row>
      </sheetData>
      <sheetData sheetId="18">
        <row r="6">
          <cell r="G6">
            <v>-2278.0099286492773</v>
          </cell>
        </row>
        <row r="7">
          <cell r="G7">
            <v>-573.3316888341176</v>
          </cell>
        </row>
        <row r="8">
          <cell r="G8" t="str">
            <v/>
          </cell>
        </row>
        <row r="9">
          <cell r="G9" t="str">
            <v/>
          </cell>
        </row>
        <row r="10">
          <cell r="G10" t="str">
            <v/>
          </cell>
        </row>
        <row r="11">
          <cell r="G11">
            <v>-2851.3416174833947</v>
          </cell>
        </row>
        <row r="16">
          <cell r="D16">
            <v>-1679.2735066666664</v>
          </cell>
          <cell r="E16">
            <v>-9672.1552741836</v>
          </cell>
        </row>
        <row r="20">
          <cell r="C20" t="str">
            <v>ü</v>
          </cell>
        </row>
        <row r="23">
          <cell r="F23">
            <v>-4530.615124150061</v>
          </cell>
        </row>
        <row r="24">
          <cell r="E24" t="str">
            <v>Ja</v>
          </cell>
          <cell r="F24" t="str">
            <v>Nein</v>
          </cell>
        </row>
        <row r="25">
          <cell r="E25" t="str">
            <v/>
          </cell>
          <cell r="F25" t="str">
            <v>x</v>
          </cell>
        </row>
        <row r="31">
          <cell r="G31">
            <v>-801.1273815520228</v>
          </cell>
        </row>
        <row r="32">
          <cell r="G32" t="str">
            <v/>
          </cell>
        </row>
        <row r="33">
          <cell r="G33" t="str">
            <v/>
          </cell>
        </row>
        <row r="34">
          <cell r="G34" t="str">
            <v/>
          </cell>
        </row>
        <row r="35">
          <cell r="G35">
            <v>-801.1273815520228</v>
          </cell>
        </row>
        <row r="40">
          <cell r="F40">
            <v>631.578947368421</v>
          </cell>
          <cell r="G40">
            <v>-169.54843418360178</v>
          </cell>
        </row>
        <row r="41">
          <cell r="F41" t="str">
            <v/>
          </cell>
          <cell r="G41" t="str">
            <v/>
          </cell>
        </row>
        <row r="42">
          <cell r="F42" t="str">
            <v/>
          </cell>
          <cell r="G42" t="str">
            <v/>
          </cell>
        </row>
        <row r="43">
          <cell r="F43" t="str">
            <v/>
          </cell>
          <cell r="G43" t="str">
            <v/>
          </cell>
        </row>
        <row r="44">
          <cell r="F44">
            <v>631.578947368421</v>
          </cell>
          <cell r="G44">
            <v>-169.54843418360178</v>
          </cell>
        </row>
      </sheetData>
      <sheetData sheetId="19">
        <row r="5">
          <cell r="D5">
            <v>4600</v>
          </cell>
        </row>
        <row r="12">
          <cell r="F12">
            <v>2858.620689655172</v>
          </cell>
          <cell r="H12">
            <v>1741.3793103448277</v>
          </cell>
        </row>
        <row r="25">
          <cell r="B25" t="str">
            <v>Butter</v>
          </cell>
          <cell r="C25">
            <v>713</v>
          </cell>
        </row>
        <row r="26">
          <cell r="B26" t="str">
            <v>Jogurt</v>
          </cell>
          <cell r="C26">
            <v>360</v>
          </cell>
        </row>
        <row r="27">
          <cell r="B27" t="str">
            <v>Topfen aus Vollmilch</v>
          </cell>
          <cell r="C27">
            <v>640</v>
          </cell>
        </row>
        <row r="28">
          <cell r="B28" t="str">
            <v>Käse</v>
          </cell>
          <cell r="C28">
            <v>127.5</v>
          </cell>
        </row>
        <row r="29">
          <cell r="B29" t="str">
            <v/>
          </cell>
          <cell r="C29" t="str">
            <v/>
          </cell>
        </row>
        <row r="30">
          <cell r="B30" t="str">
            <v/>
          </cell>
          <cell r="C30" t="str">
            <v/>
          </cell>
        </row>
        <row r="42">
          <cell r="B42" t="str">
            <v>Molkereigeld</v>
          </cell>
          <cell r="F42">
            <v>297.5</v>
          </cell>
        </row>
        <row r="43">
          <cell r="B43" t="str">
            <v>Ab-Hof</v>
          </cell>
          <cell r="F43">
            <v>270</v>
          </cell>
        </row>
        <row r="44">
          <cell r="B44" t="str">
            <v>Eigen- u. Gästeverbrauch</v>
          </cell>
          <cell r="F44">
            <v>72</v>
          </cell>
        </row>
        <row r="45">
          <cell r="B45" t="str">
            <v>Butter</v>
          </cell>
          <cell r="F45">
            <v>186</v>
          </cell>
        </row>
        <row r="46">
          <cell r="B46" t="str">
            <v>Jogurt</v>
          </cell>
          <cell r="F46">
            <v>396.00000000000006</v>
          </cell>
        </row>
        <row r="47">
          <cell r="B47" t="str">
            <v>Topfen aus Vollmilch</v>
          </cell>
          <cell r="F47">
            <v>184</v>
          </cell>
        </row>
        <row r="48">
          <cell r="B48" t="str">
            <v>Käse</v>
          </cell>
          <cell r="F48">
            <v>129</v>
          </cell>
        </row>
        <row r="49">
          <cell r="B49" t="str">
            <v>-</v>
          </cell>
          <cell r="F49" t="str">
            <v/>
          </cell>
        </row>
        <row r="50">
          <cell r="B50" t="str">
            <v>-</v>
          </cell>
          <cell r="F50" t="str">
            <v/>
          </cell>
        </row>
        <row r="51">
          <cell r="B51" t="str">
            <v>Magermilch</v>
          </cell>
          <cell r="F51">
            <v>15.946666666666667</v>
          </cell>
        </row>
        <row r="52">
          <cell r="B52" t="str">
            <v>Summe Milcherlös</v>
          </cell>
          <cell r="F52">
            <v>1550.4466666666667</v>
          </cell>
        </row>
        <row r="53">
          <cell r="B53" t="str">
            <v>Altkuherlös</v>
          </cell>
          <cell r="F53">
            <v>55</v>
          </cell>
        </row>
        <row r="54">
          <cell r="B54" t="str">
            <v>Kälbererlös</v>
          </cell>
          <cell r="F54">
            <v>241.65</v>
          </cell>
        </row>
        <row r="55">
          <cell r="B55" t="str">
            <v>SUMME ROHERTRAG</v>
          </cell>
          <cell r="F55">
            <v>1847.0966666666668</v>
          </cell>
        </row>
        <row r="59">
          <cell r="B59" t="str">
            <v>Bestandesergänzung</v>
          </cell>
          <cell r="F59">
            <v>131.5</v>
          </cell>
        </row>
        <row r="60">
          <cell r="B60" t="str">
            <v>KF</v>
          </cell>
          <cell r="F60">
            <v>404</v>
          </cell>
        </row>
        <row r="61">
          <cell r="B61" t="str">
            <v>Mineralstoffmischung</v>
          </cell>
          <cell r="F61">
            <v>30.38</v>
          </cell>
        </row>
        <row r="62">
          <cell r="B62" t="str">
            <v>Tierarzt</v>
          </cell>
          <cell r="F62">
            <v>60</v>
          </cell>
        </row>
        <row r="63">
          <cell r="B63" t="str">
            <v>Deckgeld</v>
          </cell>
          <cell r="F63">
            <v>35</v>
          </cell>
        </row>
        <row r="64">
          <cell r="B64" t="str">
            <v>Kontrollgebühren</v>
          </cell>
          <cell r="F64">
            <v>9</v>
          </cell>
        </row>
        <row r="65">
          <cell r="B65" t="str">
            <v>Versicherung</v>
          </cell>
          <cell r="F65">
            <v>21</v>
          </cell>
        </row>
        <row r="66">
          <cell r="B66" t="str">
            <v>Alpung</v>
          </cell>
          <cell r="F66">
            <v>90</v>
          </cell>
        </row>
        <row r="67">
          <cell r="B67" t="str">
            <v>Energie</v>
          </cell>
          <cell r="F67">
            <v>25</v>
          </cell>
        </row>
        <row r="68">
          <cell r="B68" t="str">
            <v>Einstreu</v>
          </cell>
          <cell r="F68">
            <v>61.6</v>
          </cell>
        </row>
        <row r="69">
          <cell r="B69" t="str">
            <v>Vermarktungs-/Verarbeitungskosten</v>
          </cell>
          <cell r="F69">
            <v>120.6</v>
          </cell>
        </row>
        <row r="70">
          <cell r="B70" t="str">
            <v>Verpackung/Etik. - in €/kg Produktion</v>
          </cell>
          <cell r="F70">
            <v>15.149999999999999</v>
          </cell>
        </row>
        <row r="71">
          <cell r="B71" t="str">
            <v>Reinigung und Energie</v>
          </cell>
          <cell r="F71">
            <v>72.5</v>
          </cell>
        </row>
        <row r="72">
          <cell r="B72" t="str">
            <v>Zuteilbare FK Butterfass, Zentrifuge</v>
          </cell>
          <cell r="F72">
            <v>175</v>
          </cell>
        </row>
        <row r="73">
          <cell r="B73" t="str">
            <v>SUMME VK</v>
          </cell>
          <cell r="F73">
            <v>1250.73</v>
          </cell>
        </row>
        <row r="74">
          <cell r="B74" t="str">
            <v>DBK  Kalkulation (vorläufiger DB)</v>
          </cell>
          <cell r="G74">
            <v>596.3666666666668</v>
          </cell>
        </row>
        <row r="80">
          <cell r="B80" t="str">
            <v>Heu</v>
          </cell>
          <cell r="F80">
            <v>93.52240244942388</v>
          </cell>
          <cell r="G80" t="str">
            <v>∑ Grundfutterkosten</v>
          </cell>
        </row>
        <row r="81">
          <cell r="B81" t="str">
            <v>Grassilage</v>
          </cell>
          <cell r="F81">
            <v>41.96518058627994</v>
          </cell>
          <cell r="G81">
            <v>135.48758303570384</v>
          </cell>
        </row>
        <row r="82">
          <cell r="B82" t="str">
            <v>Maissilage</v>
          </cell>
          <cell r="F82">
            <v>0</v>
          </cell>
        </row>
        <row r="83">
          <cell r="B83" t="str">
            <v>DB mit Berücksichtigung der Futterkosten</v>
          </cell>
          <cell r="G83">
            <v>460.87908363096295</v>
          </cell>
        </row>
        <row r="88">
          <cell r="B88" t="str">
            <v>SUMME FÖRDERUNGEN</v>
          </cell>
          <cell r="G88">
            <v>0</v>
          </cell>
        </row>
        <row r="89">
          <cell r="B89" t="str">
            <v>DB mit Berücksichtigung der Futterkosten und Förderungen</v>
          </cell>
          <cell r="G89">
            <v>460.87908363096295</v>
          </cell>
        </row>
        <row r="92">
          <cell r="B92" t="str">
            <v>Stallarbeitszeit</v>
          </cell>
          <cell r="G92">
            <v>284.1666666666667</v>
          </cell>
        </row>
        <row r="93">
          <cell r="G93">
            <v>69.89625</v>
          </cell>
        </row>
        <row r="94">
          <cell r="B94" t="str">
            <v>Gesamtstunden an Arbeitszeit</v>
          </cell>
          <cell r="G94">
            <v>354.0629166666667</v>
          </cell>
        </row>
        <row r="95">
          <cell r="B95" t="str">
            <v>DB je AK/Stunde</v>
          </cell>
          <cell r="G95">
            <v>1.3016869656102916</v>
          </cell>
        </row>
      </sheetData>
      <sheetData sheetId="20">
        <row r="7">
          <cell r="D7">
            <v>64.141753201443</v>
          </cell>
        </row>
        <row r="8">
          <cell r="D8">
            <v>18601.10842841847</v>
          </cell>
        </row>
        <row r="10">
          <cell r="D10">
            <v>25601.10842841847</v>
          </cell>
        </row>
        <row r="23">
          <cell r="E23">
            <v>0.2833333333333333</v>
          </cell>
          <cell r="H23">
            <v>242.3916666666667</v>
          </cell>
        </row>
        <row r="24">
          <cell r="E24">
            <v>0.45</v>
          </cell>
          <cell r="H24">
            <v>487.971</v>
          </cell>
        </row>
        <row r="25">
          <cell r="E25">
            <v>0.16666666666666666</v>
          </cell>
          <cell r="H25">
            <v>115.50000000000001</v>
          </cell>
        </row>
        <row r="26">
          <cell r="H26">
            <v>845.8626666666667</v>
          </cell>
        </row>
        <row r="29">
          <cell r="D29">
            <v>0.16666666666666666</v>
          </cell>
          <cell r="H29">
            <v>142.58333333333334</v>
          </cell>
        </row>
        <row r="30">
          <cell r="H30">
            <v>9.24</v>
          </cell>
        </row>
        <row r="31">
          <cell r="H31">
            <v>9.9</v>
          </cell>
        </row>
        <row r="32">
          <cell r="H32">
            <v>17</v>
          </cell>
        </row>
        <row r="33">
          <cell r="H33">
            <v>30</v>
          </cell>
        </row>
        <row r="34">
          <cell r="H34">
            <v>25.37588</v>
          </cell>
        </row>
        <row r="35">
          <cell r="H35">
            <v>14</v>
          </cell>
        </row>
        <row r="36">
          <cell r="H36">
            <v>48</v>
          </cell>
        </row>
        <row r="37">
          <cell r="H37">
            <v>32</v>
          </cell>
        </row>
        <row r="38">
          <cell r="H38">
            <v>41</v>
          </cell>
        </row>
        <row r="39">
          <cell r="H39">
            <v>33</v>
          </cell>
        </row>
        <row r="40">
          <cell r="H40">
            <v>402.09921333333335</v>
          </cell>
        </row>
        <row r="41">
          <cell r="H41">
            <v>443.7634533333333</v>
          </cell>
        </row>
        <row r="44">
          <cell r="H44">
            <v>384.016626426277</v>
          </cell>
        </row>
        <row r="45">
          <cell r="H45">
            <v>59.74682690705629</v>
          </cell>
        </row>
        <row r="48">
          <cell r="H48">
            <v>230</v>
          </cell>
        </row>
        <row r="49">
          <cell r="H49">
            <v>50</v>
          </cell>
        </row>
        <row r="50">
          <cell r="H50">
            <v>20</v>
          </cell>
        </row>
        <row r="51">
          <cell r="H51">
            <v>359.7468269070563</v>
          </cell>
        </row>
        <row r="57">
          <cell r="E57">
            <v>48</v>
          </cell>
        </row>
        <row r="58">
          <cell r="H58">
            <v>7.494725560563673</v>
          </cell>
        </row>
      </sheetData>
      <sheetData sheetId="21">
        <row r="39">
          <cell r="H39">
            <v>165.55</v>
          </cell>
        </row>
        <row r="40">
          <cell r="H40">
            <v>15.6</v>
          </cell>
        </row>
        <row r="41">
          <cell r="H41">
            <v>2.25</v>
          </cell>
        </row>
        <row r="42">
          <cell r="H42">
            <v>183.4</v>
          </cell>
        </row>
        <row r="45">
          <cell r="D45">
            <v>0.2</v>
          </cell>
          <cell r="H45">
            <v>1.4</v>
          </cell>
        </row>
        <row r="46">
          <cell r="H46">
            <v>8.75</v>
          </cell>
        </row>
        <row r="47">
          <cell r="H47">
            <v>11.76</v>
          </cell>
        </row>
        <row r="48">
          <cell r="H48">
            <v>8</v>
          </cell>
        </row>
        <row r="49">
          <cell r="H49">
            <v>14</v>
          </cell>
        </row>
        <row r="50">
          <cell r="H50">
            <v>2.923076923076923</v>
          </cell>
        </row>
        <row r="51">
          <cell r="H51">
            <v>42</v>
          </cell>
        </row>
        <row r="52">
          <cell r="H52">
            <v>13.77</v>
          </cell>
        </row>
        <row r="53">
          <cell r="H53">
            <v>6</v>
          </cell>
        </row>
        <row r="54">
          <cell r="H54">
            <v>15</v>
          </cell>
        </row>
        <row r="55">
          <cell r="H55">
            <v>123.60307692307691</v>
          </cell>
        </row>
        <row r="56">
          <cell r="H56">
            <v>59.79692307692309</v>
          </cell>
        </row>
        <row r="59">
          <cell r="H59">
            <v>44.61600000000001</v>
          </cell>
        </row>
        <row r="60">
          <cell r="H60">
            <v>15.180923076923087</v>
          </cell>
        </row>
        <row r="63">
          <cell r="H63">
            <v>22.7</v>
          </cell>
        </row>
        <row r="64">
          <cell r="H64" t="str">
            <v/>
          </cell>
        </row>
        <row r="65">
          <cell r="H65" t="str">
            <v/>
          </cell>
        </row>
        <row r="66">
          <cell r="H66">
            <v>37.88092307692308</v>
          </cell>
        </row>
        <row r="69">
          <cell r="H69">
            <v>2.990599190283401</v>
          </cell>
        </row>
        <row r="73">
          <cell r="E73">
            <v>12.666666666666668</v>
          </cell>
        </row>
      </sheetData>
      <sheetData sheetId="22">
        <row r="10">
          <cell r="F10">
            <v>0.13333333333333333</v>
          </cell>
          <cell r="G10">
            <v>0.33333333333333337</v>
          </cell>
          <cell r="I10">
            <v>2.4466666666666668</v>
          </cell>
        </row>
        <row r="11">
          <cell r="F11">
            <v>0.13333333333333333</v>
          </cell>
          <cell r="G11">
            <v>0.33333333333333337</v>
          </cell>
          <cell r="I11">
            <v>0.16</v>
          </cell>
        </row>
        <row r="13">
          <cell r="F13">
            <v>0.8333333333333334</v>
          </cell>
          <cell r="G13">
            <v>2.0833333333333335</v>
          </cell>
          <cell r="I13">
            <v>15.291666666666668</v>
          </cell>
        </row>
        <row r="14">
          <cell r="F14">
            <v>0.8333333333333334</v>
          </cell>
          <cell r="G14">
            <v>2.0833333333333335</v>
          </cell>
          <cell r="I14">
            <v>4.458333333333334</v>
          </cell>
        </row>
        <row r="16">
          <cell r="F16">
            <v>0.26666666666666666</v>
          </cell>
          <cell r="G16">
            <v>0.6666666666666667</v>
          </cell>
          <cell r="I16">
            <v>4.8933333333333335</v>
          </cell>
        </row>
        <row r="17">
          <cell r="F17">
            <v>0.26666666666666666</v>
          </cell>
          <cell r="G17">
            <v>0.6666666666666667</v>
          </cell>
          <cell r="I17">
            <v>1.426666666666667</v>
          </cell>
        </row>
        <row r="18">
          <cell r="I18">
            <v>28.67666666666667</v>
          </cell>
        </row>
        <row r="19">
          <cell r="I19">
            <v>34.412000000000006</v>
          </cell>
        </row>
        <row r="20">
          <cell r="I20">
            <v>3.4412000000000007</v>
          </cell>
        </row>
        <row r="21">
          <cell r="I21">
            <v>37.85320000000001</v>
          </cell>
        </row>
        <row r="24">
          <cell r="I24">
            <v>37.85320000000001</v>
          </cell>
        </row>
        <row r="27">
          <cell r="G27">
            <v>3.083333333333334</v>
          </cell>
        </row>
        <row r="35">
          <cell r="F35">
            <v>0.11666666666666667</v>
          </cell>
          <cell r="G35">
            <v>0.3888888888888889</v>
          </cell>
          <cell r="I35">
            <v>2.8544444444444443</v>
          </cell>
        </row>
        <row r="36">
          <cell r="F36">
            <v>0.11666666666666667</v>
          </cell>
          <cell r="G36">
            <v>0.3888888888888889</v>
          </cell>
          <cell r="I36">
            <v>0.49</v>
          </cell>
        </row>
        <row r="38">
          <cell r="F38">
            <v>0.8333333333333334</v>
          </cell>
          <cell r="G38">
            <v>2.777777777777778</v>
          </cell>
          <cell r="I38">
            <v>20.38888888888889</v>
          </cell>
        </row>
        <row r="39">
          <cell r="F39">
            <v>0.8333333333333334</v>
          </cell>
          <cell r="G39">
            <v>2.777777777777778</v>
          </cell>
          <cell r="I39">
            <v>3.5000000000000004</v>
          </cell>
        </row>
        <row r="41">
          <cell r="F41">
            <v>0.25</v>
          </cell>
          <cell r="G41">
            <v>0.8333333333333334</v>
          </cell>
          <cell r="I41">
            <v>6.116666666666667</v>
          </cell>
        </row>
        <row r="42">
          <cell r="F42">
            <v>0.25</v>
          </cell>
          <cell r="G42">
            <v>0.8333333333333334</v>
          </cell>
          <cell r="I42">
            <v>1.05</v>
          </cell>
        </row>
        <row r="43">
          <cell r="I43">
            <v>34.4</v>
          </cell>
        </row>
        <row r="44">
          <cell r="I44">
            <v>41.28</v>
          </cell>
        </row>
        <row r="45">
          <cell r="I45">
            <v>4.128</v>
          </cell>
        </row>
        <row r="46">
          <cell r="I46">
            <v>45.408</v>
          </cell>
        </row>
        <row r="49">
          <cell r="I49">
            <v>36.3264</v>
          </cell>
        </row>
        <row r="52">
          <cell r="G52">
            <v>3.2</v>
          </cell>
        </row>
        <row r="57">
          <cell r="G57">
            <v>270</v>
          </cell>
        </row>
        <row r="58">
          <cell r="G58">
            <v>21.6</v>
          </cell>
        </row>
        <row r="59">
          <cell r="G59">
            <v>6.283333333333334</v>
          </cell>
        </row>
      </sheetData>
      <sheetData sheetId="23">
        <row r="13">
          <cell r="I13">
            <v>2.3000000000000003</v>
          </cell>
        </row>
        <row r="14">
          <cell r="I14" t="str">
            <v/>
          </cell>
        </row>
        <row r="15">
          <cell r="I15" t="str">
            <v/>
          </cell>
        </row>
        <row r="16">
          <cell r="C16">
            <v>12.783333333333335</v>
          </cell>
          <cell r="D16">
            <v>2.5</v>
          </cell>
          <cell r="E16" t="str">
            <v/>
          </cell>
          <cell r="F16" t="str">
            <v/>
          </cell>
          <cell r="I16">
            <v>64.11633333333334</v>
          </cell>
        </row>
        <row r="18">
          <cell r="I18">
            <v>4.4</v>
          </cell>
        </row>
        <row r="19">
          <cell r="I19">
            <v>4.5</v>
          </cell>
        </row>
        <row r="20">
          <cell r="I20">
            <v>1.42</v>
          </cell>
        </row>
        <row r="21">
          <cell r="I21">
            <v>25.200000000000003</v>
          </cell>
        </row>
        <row r="22">
          <cell r="I22">
            <v>7.32</v>
          </cell>
        </row>
        <row r="23">
          <cell r="I23" t="str">
            <v/>
          </cell>
        </row>
        <row r="24">
          <cell r="I24" t="str">
            <v/>
          </cell>
        </row>
        <row r="25">
          <cell r="I25" t="str">
            <v/>
          </cell>
        </row>
        <row r="26">
          <cell r="I26" t="str">
            <v/>
          </cell>
        </row>
        <row r="27">
          <cell r="C27">
            <v>17.5</v>
          </cell>
          <cell r="D27">
            <v>17.5</v>
          </cell>
          <cell r="E27" t="str">
            <v/>
          </cell>
          <cell r="F27" t="str">
            <v/>
          </cell>
          <cell r="I27">
            <v>42.84</v>
          </cell>
        </row>
        <row r="29">
          <cell r="I29">
            <v>146.8</v>
          </cell>
        </row>
        <row r="30">
          <cell r="I30" t="str">
            <v/>
          </cell>
        </row>
        <row r="31">
          <cell r="I31" t="str">
            <v/>
          </cell>
        </row>
        <row r="32">
          <cell r="I32">
            <v>146.8</v>
          </cell>
        </row>
        <row r="34">
          <cell r="I34">
            <v>31.499999999999996</v>
          </cell>
        </row>
        <row r="35">
          <cell r="I35">
            <v>31.499999999999996</v>
          </cell>
        </row>
        <row r="36">
          <cell r="I36">
            <v>285.2563333333334</v>
          </cell>
        </row>
        <row r="37">
          <cell r="I37">
            <v>342.30760000000004</v>
          </cell>
        </row>
        <row r="41">
          <cell r="H41">
            <v>3.96</v>
          </cell>
          <cell r="I41">
            <v>13860</v>
          </cell>
        </row>
        <row r="44">
          <cell r="E44">
            <v>342.30760000000004</v>
          </cell>
        </row>
        <row r="47">
          <cell r="E47" t="str">
            <v/>
          </cell>
        </row>
        <row r="48">
          <cell r="E48" t="str">
            <v/>
          </cell>
        </row>
        <row r="49">
          <cell r="E49" t="str">
            <v/>
          </cell>
        </row>
        <row r="52">
          <cell r="E52" t="str">
            <v/>
          </cell>
        </row>
        <row r="53">
          <cell r="E53" t="str">
            <v/>
          </cell>
        </row>
        <row r="54">
          <cell r="E54" t="str">
            <v/>
          </cell>
        </row>
        <row r="55">
          <cell r="E55" t="str">
            <v/>
          </cell>
        </row>
        <row r="61">
          <cell r="E61" t="str">
            <v/>
          </cell>
        </row>
        <row r="64">
          <cell r="E64">
            <v>342.30760000000004</v>
          </cell>
        </row>
        <row r="65">
          <cell r="E65">
            <v>30.283333333333335</v>
          </cell>
        </row>
        <row r="66">
          <cell r="E66">
            <v>0.02469751803751804</v>
          </cell>
          <cell r="G66">
            <v>0.08410986742857143</v>
          </cell>
        </row>
      </sheetData>
      <sheetData sheetId="24">
        <row r="12">
          <cell r="E12">
            <v>13</v>
          </cell>
        </row>
        <row r="13">
          <cell r="E13">
            <v>4959.375</v>
          </cell>
        </row>
        <row r="16">
          <cell r="E16">
            <v>1653.125</v>
          </cell>
        </row>
        <row r="17">
          <cell r="E17">
            <v>264.5</v>
          </cell>
        </row>
        <row r="18">
          <cell r="E18">
            <v>264.5</v>
          </cell>
        </row>
        <row r="19">
          <cell r="E19">
            <v>793.5</v>
          </cell>
        </row>
        <row r="20">
          <cell r="G20">
            <v>2975.625</v>
          </cell>
        </row>
        <row r="23">
          <cell r="G23">
            <v>673.6</v>
          </cell>
        </row>
        <row r="24">
          <cell r="E24">
            <v>211.6</v>
          </cell>
          <cell r="G24">
            <v>338.56</v>
          </cell>
        </row>
        <row r="25">
          <cell r="G25">
            <v>1012.1600000000001</v>
          </cell>
        </row>
        <row r="28">
          <cell r="G28">
            <v>18.59765625</v>
          </cell>
        </row>
        <row r="29">
          <cell r="G29">
            <v>6.3260000000000005</v>
          </cell>
        </row>
        <row r="30">
          <cell r="G30">
            <v>24.92365625</v>
          </cell>
        </row>
      </sheetData>
      <sheetData sheetId="25">
        <row r="12">
          <cell r="E12">
            <v>15</v>
          </cell>
        </row>
        <row r="13">
          <cell r="E13">
            <v>1</v>
          </cell>
        </row>
        <row r="16">
          <cell r="E16">
            <v>0</v>
          </cell>
        </row>
        <row r="17">
          <cell r="E17">
            <v>6.8</v>
          </cell>
        </row>
        <row r="18">
          <cell r="E18">
            <v>6.8</v>
          </cell>
        </row>
        <row r="19">
          <cell r="E19">
            <v>20.4</v>
          </cell>
        </row>
        <row r="20">
          <cell r="G20">
            <v>34</v>
          </cell>
        </row>
        <row r="23">
          <cell r="G23">
            <v>16.32</v>
          </cell>
        </row>
        <row r="24">
          <cell r="E24">
            <v>54.4</v>
          </cell>
          <cell r="G24">
            <v>13.056000000000001</v>
          </cell>
        </row>
        <row r="25">
          <cell r="G25">
            <v>29.376</v>
          </cell>
        </row>
        <row r="28">
          <cell r="G28">
            <v>1.4166666666666667</v>
          </cell>
        </row>
        <row r="29">
          <cell r="G29">
            <v>1.224</v>
          </cell>
        </row>
        <row r="30">
          <cell r="G30">
            <v>2.6406666666666667</v>
          </cell>
        </row>
      </sheetData>
      <sheetData sheetId="26">
        <row r="8">
          <cell r="F8">
            <v>200</v>
          </cell>
        </row>
        <row r="9">
          <cell r="F9">
            <v>280</v>
          </cell>
        </row>
        <row r="10">
          <cell r="F10">
            <v>-24.430769230769215</v>
          </cell>
          <cell r="H10">
            <v>-0.12215384615384606</v>
          </cell>
        </row>
        <row r="16">
          <cell r="G16">
            <v>34</v>
          </cell>
        </row>
        <row r="17">
          <cell r="G17">
            <v>34</v>
          </cell>
          <cell r="H17">
            <v>0.17</v>
          </cell>
        </row>
        <row r="20">
          <cell r="G20">
            <v>60</v>
          </cell>
        </row>
        <row r="21">
          <cell r="G21">
            <v>12</v>
          </cell>
        </row>
        <row r="22">
          <cell r="G22">
            <v>3</v>
          </cell>
        </row>
        <row r="23">
          <cell r="G23">
            <v>30.400000000000002</v>
          </cell>
        </row>
        <row r="24">
          <cell r="G24">
            <v>0.5</v>
          </cell>
        </row>
        <row r="25">
          <cell r="G25">
            <v>7.199999999999999</v>
          </cell>
        </row>
        <row r="26">
          <cell r="G26">
            <v>5.4</v>
          </cell>
        </row>
        <row r="27">
          <cell r="G27" t="str">
            <v/>
          </cell>
        </row>
        <row r="28">
          <cell r="G28" t="str">
            <v/>
          </cell>
        </row>
        <row r="29">
          <cell r="G29">
            <v>118.50000000000001</v>
          </cell>
          <cell r="H29">
            <v>0.5925</v>
          </cell>
        </row>
        <row r="33">
          <cell r="G33">
            <v>120</v>
          </cell>
        </row>
        <row r="34">
          <cell r="G34">
            <v>120</v>
          </cell>
          <cell r="H34">
            <v>0.6</v>
          </cell>
        </row>
        <row r="37">
          <cell r="G37">
            <v>15.76923076923077</v>
          </cell>
        </row>
        <row r="38">
          <cell r="G38">
            <v>4.615384615384615</v>
          </cell>
        </row>
        <row r="39">
          <cell r="G39">
            <v>5.576923076923077</v>
          </cell>
        </row>
        <row r="40">
          <cell r="G40">
            <v>25.961538461538463</v>
          </cell>
          <cell r="H40">
            <v>0.12980769230769232</v>
          </cell>
        </row>
        <row r="41">
          <cell r="G41">
            <v>298.46153846153845</v>
          </cell>
          <cell r="H41">
            <v>1.4923076923076923</v>
          </cell>
        </row>
        <row r="44">
          <cell r="G44">
            <v>5.969230769230769</v>
          </cell>
        </row>
        <row r="45">
          <cell r="G45">
            <v>304.4307692307692</v>
          </cell>
          <cell r="H45">
            <v>1.522153846153846</v>
          </cell>
        </row>
        <row r="46">
          <cell r="G46">
            <v>9.132923076923076</v>
          </cell>
        </row>
        <row r="47">
          <cell r="G47">
            <v>313.5636923076923</v>
          </cell>
          <cell r="H47">
            <v>1.5678184615384614</v>
          </cell>
        </row>
      </sheetData>
      <sheetData sheetId="27">
        <row r="18">
          <cell r="D18">
            <v>-9136.240476190476</v>
          </cell>
        </row>
      </sheetData>
      <sheetData sheetId="28">
        <row r="6">
          <cell r="F6">
            <v>4720</v>
          </cell>
          <cell r="I6">
            <v>4720</v>
          </cell>
          <cell r="J6">
            <v>0</v>
          </cell>
        </row>
        <row r="7">
          <cell r="F7">
            <v>2590</v>
          </cell>
          <cell r="I7">
            <v>3885</v>
          </cell>
          <cell r="J7">
            <v>1295</v>
          </cell>
        </row>
        <row r="8">
          <cell r="F8">
            <v>860</v>
          </cell>
          <cell r="I8">
            <v>860</v>
          </cell>
          <cell r="J8">
            <v>0</v>
          </cell>
        </row>
        <row r="9">
          <cell r="F9">
            <v>650</v>
          </cell>
          <cell r="I9">
            <v>1300</v>
          </cell>
          <cell r="J9">
            <v>650</v>
          </cell>
        </row>
        <row r="10">
          <cell r="F10">
            <v>792</v>
          </cell>
          <cell r="I10">
            <v>396</v>
          </cell>
          <cell r="J10">
            <v>-396</v>
          </cell>
        </row>
        <row r="11">
          <cell r="F11" t="str">
            <v/>
          </cell>
          <cell r="I11" t="str">
            <v/>
          </cell>
          <cell r="J11" t="str">
            <v/>
          </cell>
        </row>
        <row r="12">
          <cell r="F12" t="str">
            <v/>
          </cell>
          <cell r="I12" t="str">
            <v/>
          </cell>
          <cell r="J12" t="str">
            <v/>
          </cell>
        </row>
        <row r="13">
          <cell r="F13">
            <v>9612</v>
          </cell>
          <cell r="I13">
            <v>11161</v>
          </cell>
          <cell r="J13">
            <v>1549</v>
          </cell>
        </row>
        <row r="15">
          <cell r="C15" t="str">
            <v>x</v>
          </cell>
        </row>
        <row r="17">
          <cell r="C17" t="str">
            <v/>
          </cell>
        </row>
        <row r="19">
          <cell r="C19" t="str">
            <v/>
          </cell>
        </row>
        <row r="22">
          <cell r="F22">
            <v>660</v>
          </cell>
          <cell r="I22">
            <v>495</v>
          </cell>
          <cell r="J22">
            <v>-165</v>
          </cell>
        </row>
        <row r="23">
          <cell r="F23" t="str">
            <v/>
          </cell>
          <cell r="I23" t="str">
            <v/>
          </cell>
          <cell r="J23" t="str">
            <v/>
          </cell>
        </row>
        <row r="24">
          <cell r="F24" t="str">
            <v/>
          </cell>
          <cell r="I24" t="str">
            <v/>
          </cell>
          <cell r="J24" t="str">
            <v/>
          </cell>
        </row>
        <row r="25">
          <cell r="F25" t="str">
            <v/>
          </cell>
          <cell r="I25" t="str">
            <v/>
          </cell>
          <cell r="J25" t="str">
            <v/>
          </cell>
        </row>
        <row r="26">
          <cell r="F26" t="str">
            <v/>
          </cell>
          <cell r="I26" t="str">
            <v/>
          </cell>
          <cell r="J26" t="str">
            <v/>
          </cell>
        </row>
        <row r="27">
          <cell r="F27">
            <v>660</v>
          </cell>
          <cell r="I27">
            <v>495</v>
          </cell>
          <cell r="J27">
            <v>-165</v>
          </cell>
        </row>
        <row r="31">
          <cell r="F31">
            <v>3.25</v>
          </cell>
          <cell r="I31">
            <v>13</v>
          </cell>
          <cell r="J31">
            <v>9.75</v>
          </cell>
        </row>
        <row r="32">
          <cell r="F32">
            <v>0.56</v>
          </cell>
          <cell r="I32">
            <v>3.5000000000000004</v>
          </cell>
          <cell r="J32">
            <v>2.9400000000000004</v>
          </cell>
        </row>
        <row r="33">
          <cell r="F33">
            <v>101.50000000000001</v>
          </cell>
          <cell r="I33">
            <v>45.50000000000001</v>
          </cell>
          <cell r="J33">
            <v>-56.00000000000001</v>
          </cell>
        </row>
        <row r="34">
          <cell r="F34" t="str">
            <v/>
          </cell>
          <cell r="I34" t="str">
            <v/>
          </cell>
          <cell r="J34" t="str">
            <v/>
          </cell>
        </row>
        <row r="35">
          <cell r="F35" t="str">
            <v/>
          </cell>
          <cell r="I35" t="str">
            <v/>
          </cell>
          <cell r="J35" t="str">
            <v/>
          </cell>
        </row>
        <row r="36">
          <cell r="F36">
            <v>105.31000000000002</v>
          </cell>
          <cell r="I36">
            <v>62.00000000000001</v>
          </cell>
          <cell r="J36">
            <v>-43.31</v>
          </cell>
        </row>
        <row r="38">
          <cell r="C38" t="str">
            <v/>
          </cell>
        </row>
        <row r="40">
          <cell r="C40" t="str">
            <v/>
          </cell>
        </row>
        <row r="42">
          <cell r="C42" t="str">
            <v>x</v>
          </cell>
        </row>
        <row r="45">
          <cell r="F45">
            <v>67.60000000000001</v>
          </cell>
          <cell r="I45">
            <v>156</v>
          </cell>
          <cell r="J45">
            <v>88.39999999999999</v>
          </cell>
        </row>
        <row r="46">
          <cell r="F46">
            <v>38.870000000000005</v>
          </cell>
          <cell r="I46">
            <v>69</v>
          </cell>
          <cell r="J46">
            <v>30.129999999999995</v>
          </cell>
        </row>
        <row r="47">
          <cell r="F47">
            <v>12.1</v>
          </cell>
          <cell r="I47">
            <v>22</v>
          </cell>
          <cell r="J47">
            <v>9.9</v>
          </cell>
        </row>
        <row r="48">
          <cell r="F48" t="str">
            <v/>
          </cell>
          <cell r="I48" t="str">
            <v/>
          </cell>
          <cell r="J48" t="str">
            <v/>
          </cell>
        </row>
        <row r="49">
          <cell r="F49" t="str">
            <v/>
          </cell>
          <cell r="I49" t="str">
            <v/>
          </cell>
          <cell r="J49" t="str">
            <v/>
          </cell>
        </row>
        <row r="50">
          <cell r="F50">
            <v>118.57000000000001</v>
          </cell>
          <cell r="I50">
            <v>247</v>
          </cell>
          <cell r="J50">
            <v>128.42999999999998</v>
          </cell>
        </row>
      </sheetData>
      <sheetData sheetId="29">
        <row r="6">
          <cell r="B6" t="str">
            <v>Grundverbesserungen</v>
          </cell>
        </row>
        <row r="7">
          <cell r="B7" t="str">
            <v>Maulwurfsdrainage</v>
          </cell>
          <cell r="G7">
            <v>23</v>
          </cell>
          <cell r="H7">
            <v>1</v>
          </cell>
          <cell r="I7">
            <v>0</v>
          </cell>
          <cell r="J7">
            <v>1</v>
          </cell>
        </row>
        <row r="8">
          <cell r="B8" t="str">
            <v/>
          </cell>
          <cell r="G8" t="str">
            <v/>
          </cell>
          <cell r="H8" t="str">
            <v/>
          </cell>
          <cell r="I8" t="str">
            <v/>
          </cell>
          <cell r="J8" t="str">
            <v/>
          </cell>
        </row>
        <row r="9">
          <cell r="B9" t="str">
            <v>Summe Grundverbesserungen</v>
          </cell>
          <cell r="H9">
            <v>1</v>
          </cell>
          <cell r="I9">
            <v>0</v>
          </cell>
          <cell r="J9">
            <v>1</v>
          </cell>
        </row>
        <row r="10">
          <cell r="B10" t="str">
            <v>Gebäude und bauliche Anlagen</v>
          </cell>
        </row>
        <row r="11">
          <cell r="B11" t="str">
            <v>Rinderstall (Warmstall)</v>
          </cell>
          <cell r="G11">
            <v>11</v>
          </cell>
          <cell r="H11">
            <v>114566.4</v>
          </cell>
          <cell r="I11">
            <v>3369.6</v>
          </cell>
          <cell r="J11">
            <v>111196.79999999999</v>
          </cell>
        </row>
        <row r="12">
          <cell r="B12" t="str">
            <v>Schweinestall</v>
          </cell>
          <cell r="G12">
            <v>25</v>
          </cell>
          <cell r="H12">
            <v>13542.375</v>
          </cell>
          <cell r="I12">
            <v>902.825</v>
          </cell>
          <cell r="J12">
            <v>12639.55</v>
          </cell>
        </row>
        <row r="13">
          <cell r="B13" t="str">
            <v>Milchverarbeitungsraum</v>
          </cell>
          <cell r="G13">
            <v>8</v>
          </cell>
          <cell r="H13">
            <v>3839</v>
          </cell>
          <cell r="I13">
            <v>174.5</v>
          </cell>
          <cell r="J13">
            <v>3664.5</v>
          </cell>
        </row>
        <row r="14">
          <cell r="B14" t="str">
            <v>Maschinenschuppen</v>
          </cell>
          <cell r="G14">
            <v>37</v>
          </cell>
          <cell r="H14">
            <v>339</v>
          </cell>
          <cell r="I14">
            <v>113</v>
          </cell>
          <cell r="J14">
            <v>226</v>
          </cell>
        </row>
        <row r="15">
          <cell r="B15" t="str">
            <v>Garage mit Lagerraum</v>
          </cell>
          <cell r="G15">
            <v>8</v>
          </cell>
          <cell r="H15">
            <v>13328</v>
          </cell>
          <cell r="I15">
            <v>784</v>
          </cell>
          <cell r="J15">
            <v>12544</v>
          </cell>
        </row>
        <row r="16">
          <cell r="B16" t="str">
            <v/>
          </cell>
          <cell r="G16" t="str">
            <v/>
          </cell>
          <cell r="H16" t="str">
            <v/>
          </cell>
          <cell r="I16" t="str">
            <v/>
          </cell>
          <cell r="J16" t="str">
            <v/>
          </cell>
        </row>
        <row r="17">
          <cell r="B17" t="str">
            <v/>
          </cell>
          <cell r="G17" t="str">
            <v/>
          </cell>
          <cell r="H17" t="str">
            <v/>
          </cell>
          <cell r="I17" t="str">
            <v/>
          </cell>
          <cell r="J17" t="str">
            <v/>
          </cell>
        </row>
        <row r="18">
          <cell r="B18" t="str">
            <v/>
          </cell>
          <cell r="G18" t="str">
            <v/>
          </cell>
          <cell r="H18" t="str">
            <v/>
          </cell>
          <cell r="I18" t="str">
            <v/>
          </cell>
          <cell r="J18" t="str">
            <v/>
          </cell>
        </row>
        <row r="19">
          <cell r="B19" t="str">
            <v>Summe Gebäude und bauliche Anlagen</v>
          </cell>
          <cell r="H19">
            <v>145614.775</v>
          </cell>
          <cell r="I19">
            <v>5343.925</v>
          </cell>
          <cell r="J19">
            <v>140270.84999999998</v>
          </cell>
        </row>
        <row r="20">
          <cell r="B20" t="str">
            <v>Maschinen und Geräte</v>
          </cell>
        </row>
        <row r="21">
          <cell r="B21" t="str">
            <v>Standardtraktor</v>
          </cell>
          <cell r="G21">
            <v>13</v>
          </cell>
          <cell r="H21">
            <v>4959.375</v>
          </cell>
          <cell r="I21">
            <v>1653.125</v>
          </cell>
          <cell r="J21">
            <v>3306.25</v>
          </cell>
        </row>
        <row r="22">
          <cell r="B22" t="str">
            <v/>
          </cell>
          <cell r="G22" t="str">
            <v/>
          </cell>
          <cell r="H22" t="str">
            <v/>
          </cell>
          <cell r="I22" t="str">
            <v/>
          </cell>
          <cell r="J22" t="str">
            <v/>
          </cell>
        </row>
        <row r="23">
          <cell r="B23" t="str">
            <v/>
          </cell>
          <cell r="G23" t="str">
            <v/>
          </cell>
          <cell r="H23" t="str">
            <v/>
          </cell>
          <cell r="I23" t="str">
            <v/>
          </cell>
          <cell r="J23" t="str">
            <v/>
          </cell>
        </row>
        <row r="24">
          <cell r="B24" t="str">
            <v>Motormäher</v>
          </cell>
          <cell r="G24">
            <v>15</v>
          </cell>
          <cell r="H24">
            <v>1</v>
          </cell>
          <cell r="I24">
            <v>0</v>
          </cell>
          <cell r="J24">
            <v>1</v>
          </cell>
        </row>
        <row r="25">
          <cell r="B25" t="str">
            <v>Ladewagen</v>
          </cell>
          <cell r="G25">
            <v>15</v>
          </cell>
          <cell r="H25">
            <v>1</v>
          </cell>
          <cell r="I25">
            <v>0</v>
          </cell>
          <cell r="J25">
            <v>1</v>
          </cell>
        </row>
        <row r="26">
          <cell r="B26" t="str">
            <v>Miststreuer</v>
          </cell>
          <cell r="G26">
            <v>20</v>
          </cell>
          <cell r="H26">
            <v>1</v>
          </cell>
          <cell r="I26">
            <v>0</v>
          </cell>
          <cell r="J26">
            <v>1</v>
          </cell>
        </row>
        <row r="27">
          <cell r="B27" t="str">
            <v>Mähwerk</v>
          </cell>
          <cell r="G27">
            <v>9</v>
          </cell>
          <cell r="H27">
            <v>70.25</v>
          </cell>
          <cell r="I27">
            <v>23.416666666666668</v>
          </cell>
          <cell r="J27">
            <v>46.83333333333333</v>
          </cell>
        </row>
        <row r="28">
          <cell r="B28" t="str">
            <v>Kreiselzetter</v>
          </cell>
          <cell r="G28">
            <v>16</v>
          </cell>
          <cell r="H28">
            <v>1</v>
          </cell>
          <cell r="I28">
            <v>0</v>
          </cell>
          <cell r="J28">
            <v>1</v>
          </cell>
        </row>
        <row r="29">
          <cell r="B29" t="str">
            <v>Heuraupe</v>
          </cell>
          <cell r="G29">
            <v>13</v>
          </cell>
          <cell r="H29">
            <v>297.3333333333335</v>
          </cell>
          <cell r="I29">
            <v>148.66666666666666</v>
          </cell>
          <cell r="J29">
            <v>148.66666666666683</v>
          </cell>
        </row>
        <row r="30">
          <cell r="B30" t="str">
            <v>Pflug</v>
          </cell>
          <cell r="G30">
            <v>10</v>
          </cell>
          <cell r="H30">
            <v>451.42857142857133</v>
          </cell>
          <cell r="I30">
            <v>112.85714285714286</v>
          </cell>
          <cell r="J30">
            <v>338.57142857142844</v>
          </cell>
        </row>
        <row r="31">
          <cell r="B31" t="str">
            <v>Vakuumfass</v>
          </cell>
          <cell r="G31">
            <v>27</v>
          </cell>
          <cell r="H31">
            <v>1</v>
          </cell>
          <cell r="I31">
            <v>0</v>
          </cell>
          <cell r="J31">
            <v>1</v>
          </cell>
        </row>
        <row r="32">
          <cell r="B32" t="str">
            <v>Gebläse</v>
          </cell>
          <cell r="G32">
            <v>25</v>
          </cell>
          <cell r="H32">
            <v>1</v>
          </cell>
          <cell r="I32">
            <v>0</v>
          </cell>
          <cell r="J32">
            <v>1</v>
          </cell>
        </row>
        <row r="33">
          <cell r="B33" t="str">
            <v>Butterfass</v>
          </cell>
          <cell r="G33">
            <v>13</v>
          </cell>
          <cell r="H33">
            <v>385</v>
          </cell>
          <cell r="I33">
            <v>55</v>
          </cell>
          <cell r="J33">
            <v>330</v>
          </cell>
        </row>
        <row r="34">
          <cell r="B34" t="str">
            <v>Zentrifuge</v>
          </cell>
          <cell r="G34">
            <v>25</v>
          </cell>
          <cell r="H34">
            <v>1</v>
          </cell>
          <cell r="I34">
            <v>0</v>
          </cell>
          <cell r="J34">
            <v>1</v>
          </cell>
        </row>
        <row r="35">
          <cell r="B35" t="str">
            <v>Melkmaschine</v>
          </cell>
          <cell r="G35">
            <v>11</v>
          </cell>
          <cell r="H35">
            <v>832.5</v>
          </cell>
          <cell r="I35">
            <v>92.5</v>
          </cell>
          <cell r="J35">
            <v>740</v>
          </cell>
        </row>
        <row r="36">
          <cell r="B36" t="str">
            <v>Motorsäge</v>
          </cell>
          <cell r="G36">
            <v>13</v>
          </cell>
          <cell r="H36">
            <v>1</v>
          </cell>
          <cell r="I36">
            <v>0</v>
          </cell>
          <cell r="J36">
            <v>1</v>
          </cell>
        </row>
        <row r="37">
          <cell r="B37" t="str">
            <v>PKW-Anhänger</v>
          </cell>
          <cell r="G37">
            <v>9</v>
          </cell>
          <cell r="H37">
            <v>271.25</v>
          </cell>
          <cell r="I37">
            <v>38.75</v>
          </cell>
          <cell r="J37">
            <v>232.5</v>
          </cell>
        </row>
        <row r="38">
          <cell r="B38" t="str">
            <v>Frontlader</v>
          </cell>
          <cell r="G38">
            <v>29</v>
          </cell>
          <cell r="H38">
            <v>1</v>
          </cell>
          <cell r="I38">
            <v>0</v>
          </cell>
          <cell r="J38">
            <v>1</v>
          </cell>
        </row>
        <row r="39">
          <cell r="B39" t="str">
            <v>Ackerschleppe</v>
          </cell>
          <cell r="G39">
            <v>24</v>
          </cell>
          <cell r="H39">
            <v>1</v>
          </cell>
          <cell r="I39">
            <v>0</v>
          </cell>
          <cell r="J39">
            <v>1</v>
          </cell>
        </row>
        <row r="40">
          <cell r="B40" t="str">
            <v/>
          </cell>
          <cell r="G40" t="str">
            <v/>
          </cell>
          <cell r="H40" t="str">
            <v/>
          </cell>
          <cell r="I40" t="str">
            <v/>
          </cell>
          <cell r="J40" t="str">
            <v/>
          </cell>
        </row>
        <row r="41">
          <cell r="B41" t="str">
            <v>Summe Maschinen und Geräte</v>
          </cell>
          <cell r="H41">
            <v>7277.1369047619055</v>
          </cell>
          <cell r="I41">
            <v>2124.315476190476</v>
          </cell>
          <cell r="J41">
            <v>5152.821428571429</v>
          </cell>
        </row>
      </sheetData>
      <sheetData sheetId="30">
        <row r="11">
          <cell r="A11" t="str">
            <v>Rinderstall (Warmstall)</v>
          </cell>
        </row>
        <row r="14">
          <cell r="B14" t="str">
            <v>Kubatur</v>
          </cell>
          <cell r="C14" t="str">
            <v>Ri</v>
          </cell>
          <cell r="F14" t="str">
            <v>Länge</v>
          </cell>
          <cell r="H14" t="str">
            <v>x</v>
          </cell>
          <cell r="J14" t="str">
            <v>Breite</v>
          </cell>
          <cell r="L14" t="str">
            <v>x</v>
          </cell>
          <cell r="N14" t="str">
            <v>Höhe</v>
          </cell>
          <cell r="P14" t="str">
            <v>Formel</v>
          </cell>
        </row>
        <row r="17">
          <cell r="B17" t="str">
            <v>Kubatur</v>
          </cell>
          <cell r="F17">
            <v>1080</v>
          </cell>
          <cell r="P17" t="str">
            <v>Ergebnis</v>
          </cell>
        </row>
        <row r="21">
          <cell r="B21" t="str">
            <v>Alter</v>
          </cell>
          <cell r="F21" t="str">
            <v>Aktuelles Jahr</v>
          </cell>
          <cell r="H21" t="str">
            <v>-</v>
          </cell>
          <cell r="J21" t="str">
            <v>Anschaffungsjahr</v>
          </cell>
        </row>
        <row r="24">
          <cell r="B24" t="str">
            <v>Alter</v>
          </cell>
          <cell r="F24">
            <v>11</v>
          </cell>
          <cell r="L24" t="str">
            <v>x</v>
          </cell>
          <cell r="N24" t="str">
            <v>≤ 1/4 Nutzungsdauer</v>
          </cell>
        </row>
        <row r="26">
          <cell r="L26" t="str">
            <v/>
          </cell>
          <cell r="N26" t="str">
            <v>&gt; 1/4 und &lt;1/2 Nutzungsdauer</v>
          </cell>
        </row>
        <row r="28">
          <cell r="L28" t="str">
            <v/>
          </cell>
          <cell r="N28" t="str">
            <v>≥ 1/2 Nutzungsdauer</v>
          </cell>
        </row>
        <row r="34">
          <cell r="F34" t="str">
            <v>Kubatur</v>
          </cell>
          <cell r="H34" t="str">
            <v>x</v>
          </cell>
          <cell r="J34" t="str">
            <v>Red. BK-Richtsatz</v>
          </cell>
        </row>
        <row r="37">
          <cell r="F37">
            <v>151632</v>
          </cell>
        </row>
        <row r="41">
          <cell r="B41" t="str">
            <v>jAfa</v>
          </cell>
          <cell r="F41" t="str">
            <v>Wiederbeschaffungswert</v>
          </cell>
        </row>
        <row r="44">
          <cell r="C44" t="str">
            <v>Ri</v>
          </cell>
          <cell r="F44" t="str">
            <v>Nutzungsdauer</v>
          </cell>
        </row>
        <row r="47">
          <cell r="F47">
            <v>3369.6</v>
          </cell>
        </row>
        <row r="50">
          <cell r="B50" t="str">
            <v>bAfa</v>
          </cell>
          <cell r="F50" t="str">
            <v>Jährliche Afa</v>
          </cell>
          <cell r="H50" t="str">
            <v>x</v>
          </cell>
          <cell r="J50" t="str">
            <v>Alter</v>
          </cell>
        </row>
        <row r="55">
          <cell r="F55">
            <v>37065.6</v>
          </cell>
        </row>
        <row r="60">
          <cell r="B60" t="str">
            <v>ZW1.1.</v>
          </cell>
          <cell r="F60" t="str">
            <v>Wiederbeschaffungswert</v>
          </cell>
          <cell r="H60" t="str">
            <v>-</v>
          </cell>
          <cell r="J60" t="str">
            <v>Bisherige Afa</v>
          </cell>
        </row>
        <row r="63">
          <cell r="F63">
            <v>114566.4</v>
          </cell>
        </row>
        <row r="66">
          <cell r="B66" t="str">
            <v>ZW31.12.</v>
          </cell>
          <cell r="F66" t="str">
            <v>Zeitwert1.1.</v>
          </cell>
          <cell r="H66" t="str">
            <v>-</v>
          </cell>
          <cell r="J66" t="str">
            <v>Jährliche Afa</v>
          </cell>
        </row>
        <row r="69">
          <cell r="F69">
            <v>111196.79999999999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Q923"/>
  <sheetViews>
    <sheetView showGridLines="0" showRowColHeaders="0" zoomScalePageLayoutView="0" workbookViewId="0" topLeftCell="A1">
      <pane ySplit="7" topLeftCell="A859" activePane="bottomLeft" state="frozen"/>
      <selection pane="topLeft" activeCell="E12" sqref="E12:M18"/>
      <selection pane="bottomLeft" activeCell="E12" sqref="E12:M18"/>
    </sheetView>
  </sheetViews>
  <sheetFormatPr defaultColWidth="0" defaultRowHeight="15" customHeight="1" zeroHeight="1"/>
  <cols>
    <col min="1" max="1" width="2.28125" style="1" customWidth="1"/>
    <col min="2" max="2" width="33.7109375" style="1" customWidth="1"/>
    <col min="3" max="3" width="8.7109375" style="1" customWidth="1"/>
    <col min="4" max="4" width="10.7109375" style="1" customWidth="1"/>
    <col min="5" max="5" width="1.1484375" style="1" customWidth="1"/>
    <col min="6" max="6" width="10.00390625" style="1" hidden="1" customWidth="1"/>
    <col min="7" max="7" width="1.1484375" style="1" hidden="1" customWidth="1"/>
    <col min="8" max="8" width="10.7109375" style="111" customWidth="1"/>
    <col min="9" max="9" width="13.8515625" style="1" customWidth="1"/>
    <col min="10" max="10" width="6.7109375" style="1" customWidth="1"/>
    <col min="11" max="11" width="1.7109375" style="1" customWidth="1"/>
    <col min="12" max="12" width="6.7109375" style="1" customWidth="1"/>
    <col min="13" max="13" width="4.7109375" style="1" hidden="1" customWidth="1"/>
    <col min="14" max="14" width="2.7109375" style="1" hidden="1" customWidth="1"/>
    <col min="15" max="15" width="4.7109375" style="1" hidden="1" customWidth="1"/>
    <col min="16" max="17" width="2.7109375" style="1" hidden="1" customWidth="1"/>
    <col min="18" max="18" width="8.7109375" style="1" hidden="1" customWidth="1"/>
    <col min="19" max="19" width="30.7109375" style="1" hidden="1" customWidth="1"/>
    <col min="20" max="16384" width="8.7109375" style="1" hidden="1" customWidth="1"/>
  </cols>
  <sheetData>
    <row r="1" spans="1:17" ht="32.25" customHeight="1" thickBot="1" thickTop="1">
      <c r="A1" s="826" t="s">
        <v>0</v>
      </c>
      <c r="B1" s="827"/>
      <c r="C1" s="827"/>
      <c r="D1" s="827"/>
      <c r="E1" s="827"/>
      <c r="F1" s="827"/>
      <c r="G1" s="827"/>
      <c r="H1" s="828"/>
      <c r="I1" s="827"/>
      <c r="J1" s="835" t="s">
        <v>526</v>
      </c>
      <c r="K1" s="827"/>
      <c r="L1" s="829" t="s">
        <v>11</v>
      </c>
      <c r="M1" s="1017" t="s">
        <v>8</v>
      </c>
      <c r="N1" s="1017"/>
      <c r="O1" s="1017"/>
      <c r="P1" s="837" t="s">
        <v>11</v>
      </c>
      <c r="Q1" s="837"/>
    </row>
    <row r="2" spans="1:12" ht="32.25" customHeight="1" thickTop="1">
      <c r="A2" s="887"/>
      <c r="B2" s="888"/>
      <c r="C2" s="887"/>
      <c r="D2" s="887"/>
      <c r="E2" s="887"/>
      <c r="F2" s="887"/>
      <c r="G2" s="887"/>
      <c r="H2" s="887"/>
      <c r="I2" s="887"/>
      <c r="J2" s="887"/>
      <c r="K2" s="887"/>
      <c r="L2" s="887"/>
    </row>
    <row r="3" spans="1:14" ht="12.75">
      <c r="A3" s="2"/>
      <c r="B3" s="3" t="s">
        <v>1</v>
      </c>
      <c r="E3" s="4"/>
      <c r="F3" s="4"/>
      <c r="G3" s="4"/>
      <c r="H3" s="5"/>
      <c r="I3" s="6"/>
      <c r="J3" s="7"/>
      <c r="K3" s="6"/>
      <c r="L3" s="8"/>
      <c r="N3" s="839" t="str">
        <f>IF($L$1="","",$L$1)</f>
        <v>x</v>
      </c>
    </row>
    <row r="4" spans="2:14" ht="3.75" customHeight="1">
      <c r="B4" s="3"/>
      <c r="E4" s="4"/>
      <c r="F4" s="4"/>
      <c r="G4" s="4"/>
      <c r="H4" s="5"/>
      <c r="I4" s="6"/>
      <c r="J4" s="7"/>
      <c r="K4" s="6"/>
      <c r="L4" s="8"/>
      <c r="N4" s="838" t="str">
        <f>N3</f>
        <v>x</v>
      </c>
    </row>
    <row r="5" spans="1:14" ht="12.75">
      <c r="A5" s="9"/>
      <c r="B5" s="3" t="s">
        <v>2</v>
      </c>
      <c r="E5" s="4"/>
      <c r="F5" s="4"/>
      <c r="G5" s="4"/>
      <c r="H5" s="5"/>
      <c r="I5" s="6"/>
      <c r="J5" s="7"/>
      <c r="K5" s="6"/>
      <c r="L5" s="8"/>
      <c r="N5" s="839" t="str">
        <f>IF($L$1="","",$L$1)</f>
        <v>x</v>
      </c>
    </row>
    <row r="6" spans="5:14" ht="12.75">
      <c r="E6" s="4"/>
      <c r="F6" s="4"/>
      <c r="G6" s="4"/>
      <c r="H6" s="5"/>
      <c r="I6" s="6"/>
      <c r="J6" s="7"/>
      <c r="K6" s="6"/>
      <c r="L6" s="8"/>
      <c r="N6" s="838" t="str">
        <f>N5</f>
        <v>x</v>
      </c>
    </row>
    <row r="7" spans="1:14" ht="22.5">
      <c r="A7" s="10" t="s">
        <v>3</v>
      </c>
      <c r="B7" s="11"/>
      <c r="C7" s="12"/>
      <c r="D7" s="13" t="s">
        <v>4</v>
      </c>
      <c r="E7" s="13"/>
      <c r="F7" s="14" t="s">
        <v>5</v>
      </c>
      <c r="G7" s="12"/>
      <c r="H7" s="14" t="s">
        <v>6</v>
      </c>
      <c r="I7" s="15" t="str">
        <f>"Fehler"</f>
        <v>Fehler</v>
      </c>
      <c r="J7" s="16" t="s">
        <v>7</v>
      </c>
      <c r="K7" s="16"/>
      <c r="L7" s="16"/>
      <c r="N7" s="840" t="str">
        <f>IF($L$1="","",$L$1)</f>
        <v>x</v>
      </c>
    </row>
    <row r="8" spans="1:14" ht="12.75" customHeight="1">
      <c r="A8" s="17" t="s">
        <v>9</v>
      </c>
      <c r="B8" s="17" t="s">
        <v>10</v>
      </c>
      <c r="C8" s="18"/>
      <c r="D8" s="19"/>
      <c r="H8" s="20"/>
      <c r="I8" s="21"/>
      <c r="J8" s="22"/>
      <c r="K8" s="23"/>
      <c r="L8" s="24"/>
      <c r="N8" s="839" t="str">
        <f>IF($L$1="","",$L$1)</f>
        <v>x</v>
      </c>
    </row>
    <row r="9" spans="2:14" ht="12.75" customHeight="1" hidden="1">
      <c r="B9" s="25" t="str">
        <f>IF(Ist!B6="","-",Ist!B6)</f>
        <v>DB Milchkuh</v>
      </c>
      <c r="C9" s="18"/>
      <c r="D9" s="26">
        <f>IF('[2]E-Ist'!$E6="","",'[2]E-Ist'!$E6)</f>
        <v>2385.466666666667</v>
      </c>
      <c r="E9" s="27"/>
      <c r="H9" s="28">
        <f>IF(Ist!$E6="","",Ist!$E6)</f>
        <v>2385.466666666667</v>
      </c>
      <c r="I9" s="29" t="str">
        <f>IF(AND(D9="",H9=""),"",IF(H9=D9,"Richtig!",IF(H9="","Fehlt","Falsch")))</f>
        <v>Richtig!</v>
      </c>
      <c r="J9" s="30" t="str">
        <f>IF(OR(B9="-",N9="",AND(D9="",H9="")),"-",IF(I9="Richtig!",1,IF(I9="Formel: OK",0.5,IF(OR(I9="Falsch",I9="Fehlt"),0,""))))</f>
        <v>-</v>
      </c>
      <c r="K9" s="23">
        <f>IF(L9="","","│")</f>
      </c>
      <c r="L9" s="24">
        <f>IF(OR(B9="-",N9="",AND(D9="",H9="")),"",1)</f>
      </c>
      <c r="N9" s="841"/>
    </row>
    <row r="10" spans="2:14" ht="12.75" customHeight="1">
      <c r="B10" s="25" t="str">
        <f>IF(Ist!B7="","-",Ist!B7)</f>
        <v>DB Kalbinnen</v>
      </c>
      <c r="C10" s="18"/>
      <c r="D10" s="26">
        <f>IF('[2]E-Ist'!$E7="","",'[2]E-Ist'!$E7)</f>
        <v>1562</v>
      </c>
      <c r="E10" s="27"/>
      <c r="F10" s="27"/>
      <c r="H10" s="28">
        <f>IF(Ist!$E7="","",Ist!$E7)</f>
      </c>
      <c r="I10" s="29" t="str">
        <f aca="true" t="shared" si="0" ref="I10:I22">IF(AND(D10="",H10=""),"",IF(H10=D10,"Richtig!",IF(H10="","Fehlt","Falsch")))</f>
        <v>Fehlt</v>
      </c>
      <c r="J10" s="30">
        <f aca="true" t="shared" si="1" ref="J10:J73">IF(OR(B10="-",N10="",AND(D10="",H10="")),"-",IF(I10="Richtig!",1,IF(I10="Formel: OK",0.5,IF(OR(I10="Falsch",I10="Fehlt"),0,""))))</f>
        <v>0</v>
      </c>
      <c r="K10" s="23" t="str">
        <f aca="true" t="shared" si="2" ref="K10:K73">IF(L10="","","│")</f>
        <v>│</v>
      </c>
      <c r="L10" s="24">
        <f aca="true" t="shared" si="3" ref="L10:L73">IF(OR(B10="-",N10="",AND(D10="",H10="")),"",1)</f>
        <v>1</v>
      </c>
      <c r="N10" s="841" t="str">
        <f>IF($L$1="","",$L$1)</f>
        <v>x</v>
      </c>
    </row>
    <row r="11" spans="2:14" ht="12.75" customHeight="1">
      <c r="B11" s="25" t="str">
        <f>IF(Ist!B8="","-",Ist!B8)</f>
        <v>DB Milchkälber</v>
      </c>
      <c r="C11" s="18"/>
      <c r="D11" s="26">
        <f>IF('[2]E-Ist'!$E8="","",'[2]E-Ist'!$E8)</f>
        <v>40</v>
      </c>
      <c r="E11" s="27"/>
      <c r="F11" s="27"/>
      <c r="H11" s="28">
        <f>IF(Ist!$E8="","",Ist!$E8)</f>
      </c>
      <c r="I11" s="29" t="str">
        <f t="shared" si="0"/>
        <v>Fehlt</v>
      </c>
      <c r="J11" s="30">
        <f t="shared" si="1"/>
        <v>0</v>
      </c>
      <c r="K11" s="23" t="str">
        <f t="shared" si="2"/>
        <v>│</v>
      </c>
      <c r="L11" s="24">
        <f t="shared" si="3"/>
        <v>1</v>
      </c>
      <c r="N11" s="841" t="s">
        <v>11</v>
      </c>
    </row>
    <row r="12" spans="2:14" ht="12.75" customHeight="1">
      <c r="B12" s="25" t="str">
        <f>IF(Ist!B9="","-",Ist!B9)</f>
        <v>DB Mastschweine</v>
      </c>
      <c r="C12" s="18"/>
      <c r="D12" s="26">
        <f>IF('[2]E-Ist'!$E9="","",'[2]E-Ist'!$E9)</f>
        <v>112</v>
      </c>
      <c r="E12" s="27"/>
      <c r="F12" s="27"/>
      <c r="H12" s="28">
        <f>IF(Ist!$E9="","",Ist!$E9)</f>
      </c>
      <c r="I12" s="29" t="str">
        <f t="shared" si="0"/>
        <v>Fehlt</v>
      </c>
      <c r="J12" s="30">
        <f t="shared" si="1"/>
        <v>0</v>
      </c>
      <c r="K12" s="23" t="str">
        <f t="shared" si="2"/>
        <v>│</v>
      </c>
      <c r="L12" s="24">
        <f t="shared" si="3"/>
        <v>1</v>
      </c>
      <c r="N12" s="841" t="s">
        <v>11</v>
      </c>
    </row>
    <row r="13" spans="2:14" ht="12.75" customHeight="1">
      <c r="B13" s="25" t="str">
        <f>IF(Ist!B10="","-",Ist!B10)</f>
        <v>DB Kartoffel</v>
      </c>
      <c r="C13" s="18"/>
      <c r="D13" s="26">
        <f>IF('[2]E-Ist'!$E10="","",'[2]E-Ist'!$E10)</f>
        <v>900</v>
      </c>
      <c r="E13" s="27"/>
      <c r="F13" s="27"/>
      <c r="H13" s="28">
        <f>IF(Ist!$E10="","",Ist!$E10)</f>
      </c>
      <c r="I13" s="29" t="str">
        <f t="shared" si="0"/>
        <v>Fehlt</v>
      </c>
      <c r="J13" s="30">
        <f t="shared" si="1"/>
        <v>0</v>
      </c>
      <c r="K13" s="23" t="str">
        <f t="shared" si="2"/>
        <v>│</v>
      </c>
      <c r="L13" s="24">
        <f t="shared" si="3"/>
        <v>1</v>
      </c>
      <c r="N13" s="841" t="s">
        <v>11</v>
      </c>
    </row>
    <row r="14" spans="2:14" ht="12.75" customHeight="1" hidden="1">
      <c r="B14" s="25" t="str">
        <f>IF(Ist!B11="","-",Ist!B11)</f>
        <v>-</v>
      </c>
      <c r="C14" s="18"/>
      <c r="D14" s="26">
        <f>IF('[2]E-Ist'!$E11="","",'[2]E-Ist'!$E11)</f>
      </c>
      <c r="E14" s="27"/>
      <c r="F14" s="27"/>
      <c r="H14" s="28">
        <f>IF(Ist!$E11="","",Ist!$E11)</f>
      </c>
      <c r="I14" s="29">
        <f t="shared" si="0"/>
      </c>
      <c r="J14" s="30" t="str">
        <f t="shared" si="1"/>
        <v>-</v>
      </c>
      <c r="K14" s="23">
        <f t="shared" si="2"/>
      </c>
      <c r="L14" s="24">
        <f t="shared" si="3"/>
      </c>
      <c r="N14" s="841"/>
    </row>
    <row r="15" spans="2:14" ht="12.75" customHeight="1" hidden="1">
      <c r="B15" s="25" t="str">
        <f>IF(Ist!B12="","-",Ist!B12)</f>
        <v>-</v>
      </c>
      <c r="C15" s="18"/>
      <c r="D15" s="26">
        <f>IF('[2]E-Ist'!$E12="","",'[2]E-Ist'!$E12)</f>
      </c>
      <c r="E15" s="27"/>
      <c r="F15" s="27"/>
      <c r="H15" s="28">
        <f>IF(Ist!$E12="","",Ist!$E12)</f>
      </c>
      <c r="I15" s="29">
        <f t="shared" si="0"/>
      </c>
      <c r="J15" s="30" t="str">
        <f t="shared" si="1"/>
        <v>-</v>
      </c>
      <c r="K15" s="23">
        <f t="shared" si="2"/>
      </c>
      <c r="L15" s="24">
        <f t="shared" si="3"/>
      </c>
      <c r="N15" s="841"/>
    </row>
    <row r="16" spans="2:14" ht="12.75" customHeight="1" hidden="1">
      <c r="B16" s="25" t="str">
        <f>IF(Ist!B13="","-",Ist!B13)</f>
        <v>VK Feldfutter - Heu</v>
      </c>
      <c r="C16" s="18"/>
      <c r="D16" s="26">
        <f>IF('[2]E-Ist'!$E13="","",'[2]E-Ist'!$E13)</f>
        <v>-1018.75</v>
      </c>
      <c r="E16" s="27"/>
      <c r="F16" s="27"/>
      <c r="H16" s="28">
        <f>IF(Ist!$E13="","",Ist!$E13)</f>
        <v>-1018.75</v>
      </c>
      <c r="I16" s="29" t="str">
        <f t="shared" si="0"/>
        <v>Richtig!</v>
      </c>
      <c r="J16" s="30" t="str">
        <f t="shared" si="1"/>
        <v>-</v>
      </c>
      <c r="K16" s="23">
        <f t="shared" si="2"/>
      </c>
      <c r="L16" s="24">
        <f t="shared" si="3"/>
      </c>
      <c r="N16" s="841"/>
    </row>
    <row r="17" spans="2:14" ht="12.75" customHeight="1" hidden="1">
      <c r="B17" s="25" t="str">
        <f>IF(Ist!B14="","-",Ist!B14)</f>
        <v>VK Dauergrünland 3-schnittig</v>
      </c>
      <c r="C17" s="18"/>
      <c r="D17" s="26">
        <f>IF('[2]E-Ist'!$E14="","",'[2]E-Ist'!$E14)</f>
        <v>-2138.4</v>
      </c>
      <c r="E17" s="27"/>
      <c r="F17" s="27"/>
      <c r="H17" s="28">
        <f>IF(Ist!$E14="","",Ist!$E14)</f>
        <v>-2138.4</v>
      </c>
      <c r="I17" s="29" t="str">
        <f t="shared" si="0"/>
        <v>Richtig!</v>
      </c>
      <c r="J17" s="30" t="str">
        <f t="shared" si="1"/>
        <v>-</v>
      </c>
      <c r="K17" s="23">
        <f t="shared" si="2"/>
      </c>
      <c r="L17" s="24">
        <f t="shared" si="3"/>
      </c>
      <c r="N17" s="841"/>
    </row>
    <row r="18" spans="2:14" ht="12.75" customHeight="1" hidden="1">
      <c r="B18" s="25" t="str">
        <f>IF(Ist!B15="","-",Ist!B15)</f>
        <v>VK Dauergrünland 1-schnittig</v>
      </c>
      <c r="C18" s="18"/>
      <c r="D18" s="26">
        <f>IF('[2]E-Ist'!$E15="","",'[2]E-Ist'!$E15)</f>
        <v>-924.2305200000002</v>
      </c>
      <c r="E18" s="27"/>
      <c r="F18" s="27"/>
      <c r="H18" s="28">
        <f>IF(Ist!$E15="","",Ist!$E15)</f>
        <v>-924.2305200000002</v>
      </c>
      <c r="I18" s="29" t="str">
        <f t="shared" si="0"/>
        <v>Richtig!</v>
      </c>
      <c r="J18" s="30" t="str">
        <f t="shared" si="1"/>
        <v>-</v>
      </c>
      <c r="K18" s="23">
        <f t="shared" si="2"/>
      </c>
      <c r="L18" s="24">
        <f t="shared" si="3"/>
      </c>
      <c r="N18" s="841"/>
    </row>
    <row r="19" spans="2:14" ht="12.75" customHeight="1" hidden="1">
      <c r="B19" s="25" t="str">
        <f>IF(Ist!B16="","-",Ist!B16)</f>
        <v>-</v>
      </c>
      <c r="C19" s="18"/>
      <c r="D19" s="26">
        <f>IF('[2]E-Ist'!$E16="","",'[2]E-Ist'!$E16)</f>
      </c>
      <c r="E19" s="27"/>
      <c r="F19" s="27"/>
      <c r="H19" s="28">
        <f>IF(Ist!$E16="","",Ist!$E16)</f>
      </c>
      <c r="I19" s="29">
        <f t="shared" si="0"/>
      </c>
      <c r="J19" s="30" t="str">
        <f t="shared" si="1"/>
        <v>-</v>
      </c>
      <c r="K19" s="23">
        <f t="shared" si="2"/>
      </c>
      <c r="L19" s="24">
        <f t="shared" si="3"/>
      </c>
      <c r="N19" s="841"/>
    </row>
    <row r="20" spans="2:14" ht="12.75" customHeight="1" hidden="1">
      <c r="B20" s="25" t="str">
        <f>IF(Ist!B17="","-",Ist!B17)</f>
        <v>-</v>
      </c>
      <c r="C20" s="18"/>
      <c r="D20" s="26">
        <f>IF('[2]E-Ist'!$E17="","",'[2]E-Ist'!$E17)</f>
      </c>
      <c r="E20" s="27"/>
      <c r="F20" s="27"/>
      <c r="H20" s="28">
        <f>IF(Ist!$E17="","",Ist!$E17)</f>
      </c>
      <c r="I20" s="29">
        <f t="shared" si="0"/>
      </c>
      <c r="J20" s="30" t="str">
        <f t="shared" si="1"/>
        <v>-</v>
      </c>
      <c r="K20" s="23">
        <f t="shared" si="2"/>
      </c>
      <c r="L20" s="24">
        <f t="shared" si="3"/>
      </c>
      <c r="N20" s="841"/>
    </row>
    <row r="21" spans="2:14" ht="12.75" customHeight="1" hidden="1">
      <c r="B21" s="25" t="str">
        <f>IF(Ist!B18="","-",Ist!B18)</f>
        <v>-</v>
      </c>
      <c r="C21" s="18"/>
      <c r="D21" s="26">
        <f>IF('[2]E-Ist'!$E18="","",'[2]E-Ist'!$E18)</f>
      </c>
      <c r="E21" s="27"/>
      <c r="F21" s="27"/>
      <c r="H21" s="28">
        <f>IF(Ist!$E18="","",Ist!$E18)</f>
      </c>
      <c r="I21" s="29">
        <f t="shared" si="0"/>
      </c>
      <c r="J21" s="30" t="str">
        <f t="shared" si="1"/>
        <v>-</v>
      </c>
      <c r="K21" s="23">
        <f t="shared" si="2"/>
      </c>
      <c r="L21" s="24">
        <f t="shared" si="3"/>
      </c>
      <c r="N21" s="841"/>
    </row>
    <row r="22" spans="2:14" ht="12.75" customHeight="1" hidden="1">
      <c r="B22" s="25" t="str">
        <f>IF(Ist!B19="","-",Ist!B19)</f>
        <v>-</v>
      </c>
      <c r="C22" s="18"/>
      <c r="D22" s="26">
        <f>IF('[2]E-Ist'!$E19="","",'[2]E-Ist'!$E19)</f>
      </c>
      <c r="E22" s="27"/>
      <c r="F22" s="27"/>
      <c r="H22" s="28">
        <f>IF(Ist!$E19="","",Ist!$E19)</f>
      </c>
      <c r="I22" s="29">
        <f t="shared" si="0"/>
      </c>
      <c r="J22" s="30" t="str">
        <f t="shared" si="1"/>
        <v>-</v>
      </c>
      <c r="K22" s="23">
        <f t="shared" si="2"/>
      </c>
      <c r="L22" s="24">
        <f t="shared" si="3"/>
      </c>
      <c r="N22" s="841"/>
    </row>
    <row r="23" spans="2:14" ht="12.75" customHeight="1">
      <c r="B23" s="25" t="str">
        <f>IF(Ist!B20="","-",Ist!B20)</f>
        <v>Gesamt DB</v>
      </c>
      <c r="C23" s="18"/>
      <c r="D23" s="31">
        <f>IF('[2]E-Ist'!$E20="","",'[2]E-Ist'!$E20)</f>
        <v>918.0861466666669</v>
      </c>
      <c r="E23" s="27"/>
      <c r="F23" s="32">
        <f>SUM(H9:H22)</f>
        <v>-1695.913853333333</v>
      </c>
      <c r="H23" s="33">
        <f>IF(Ist!$E20="","",Ist!$E20)</f>
      </c>
      <c r="I23" s="29" t="str">
        <f>IF(B23="-","",IF(H23=D23,"Richtig!",IF(AND(D23&lt;&gt;H23,F23=H23),"Formel: OK",IF(H23="","Fehlt","Falsch"))))</f>
        <v>Fehlt</v>
      </c>
      <c r="J23" s="30">
        <f t="shared" si="1"/>
        <v>0</v>
      </c>
      <c r="K23" s="23" t="str">
        <f t="shared" si="2"/>
        <v>│</v>
      </c>
      <c r="L23" s="24">
        <f t="shared" si="3"/>
        <v>1</v>
      </c>
      <c r="N23" s="841" t="str">
        <f>IF($L$1="","",$L$1)</f>
        <v>x</v>
      </c>
    </row>
    <row r="24" spans="1:14" ht="12.75" customHeight="1">
      <c r="A24" s="18"/>
      <c r="C24" s="18"/>
      <c r="D24" s="34"/>
      <c r="E24" s="27"/>
      <c r="F24" s="27"/>
      <c r="H24" s="35"/>
      <c r="I24" s="29"/>
      <c r="J24" s="29"/>
      <c r="K24" s="23">
        <f t="shared" si="2"/>
      </c>
      <c r="L24" s="24">
        <f t="shared" si="3"/>
      </c>
      <c r="N24" s="842" t="str">
        <f>IF($L$1="","",$L$1)</f>
        <v>x</v>
      </c>
    </row>
    <row r="25" spans="1:14" ht="12.75" customHeight="1">
      <c r="A25" s="17" t="s">
        <v>12</v>
      </c>
      <c r="B25" s="17" t="s">
        <v>13</v>
      </c>
      <c r="C25" s="18"/>
      <c r="D25" s="19"/>
      <c r="H25" s="20"/>
      <c r="I25" s="21"/>
      <c r="J25" s="21"/>
      <c r="K25" s="23">
        <f t="shared" si="2"/>
      </c>
      <c r="L25" s="24">
        <f t="shared" si="3"/>
      </c>
      <c r="N25" s="839" t="str">
        <f>IF($L$1="","",$L$1)</f>
        <v>x</v>
      </c>
    </row>
    <row r="26" spans="1:14" ht="12.75" customHeight="1" hidden="1">
      <c r="A26" s="17"/>
      <c r="B26" s="25" t="str">
        <f>IF(Ist!B6="","-",MID(Ist!B6,4,30))</f>
        <v>Milchkuh</v>
      </c>
      <c r="C26" s="18"/>
      <c r="D26" s="26">
        <f>IF('[2]E-Ist'!$G6="","",'[2]E-Ist'!$G6)</f>
        <v>-31973.470922879962</v>
      </c>
      <c r="E26" s="27"/>
      <c r="H26" s="28">
        <f>IF(Ist!$G6="","",Ist!$G6)</f>
        <v>-31973.470922879962</v>
      </c>
      <c r="I26" s="29" t="str">
        <f>IF(AND(D26="",H26=""),"",IF(H26=D26,"Richtig!",IF(H26="","Fehlt","Falsch")))</f>
        <v>Richtig!</v>
      </c>
      <c r="J26" s="30" t="str">
        <f t="shared" si="1"/>
        <v>-</v>
      </c>
      <c r="K26" s="23">
        <f t="shared" si="2"/>
      </c>
      <c r="L26" s="24">
        <f t="shared" si="3"/>
      </c>
      <c r="N26" s="841"/>
    </row>
    <row r="27" spans="1:14" ht="12.75" customHeight="1" hidden="1">
      <c r="A27" s="17"/>
      <c r="B27" s="25" t="str">
        <f>IF(Ist!B7="","-",MID(Ist!B7,4,30))</f>
        <v>Kalbinnen</v>
      </c>
      <c r="C27" s="18"/>
      <c r="D27" s="26">
        <f>IF('[2]E-Ist'!$G7="","",'[2]E-Ist'!$G7)</f>
        <v>-57000</v>
      </c>
      <c r="E27" s="27"/>
      <c r="H27" s="28">
        <f>IF(Ist!$G7="","",Ist!$G7)</f>
        <v>-57000</v>
      </c>
      <c r="I27" s="29" t="str">
        <f aca="true" t="shared" si="4" ref="I27:I39">IF(AND(D27="",H27=""),"",IF(H27=D27,"Richtig!",IF(H27="","Fehlt","Falsch")))</f>
        <v>Richtig!</v>
      </c>
      <c r="J27" s="30" t="str">
        <f t="shared" si="1"/>
        <v>-</v>
      </c>
      <c r="K27" s="23">
        <f t="shared" si="2"/>
      </c>
      <c r="L27" s="24">
        <f t="shared" si="3"/>
      </c>
      <c r="N27" s="841"/>
    </row>
    <row r="28" spans="2:14" ht="12.75" customHeight="1" hidden="1">
      <c r="B28" s="25" t="str">
        <f>IF(Ist!B8="","-",MID(Ist!B8,4,30))</f>
        <v>Milchkälber</v>
      </c>
      <c r="C28" s="18"/>
      <c r="D28" s="26">
        <f>IF('[2]E-Ist'!$G8="","",'[2]E-Ist'!$G8)</f>
        <v>0</v>
      </c>
      <c r="E28" s="27"/>
      <c r="H28" s="28">
        <f>IF(Ist!$G8="","",Ist!$G8)</f>
      </c>
      <c r="I28" s="29" t="str">
        <f t="shared" si="4"/>
        <v>Fehlt</v>
      </c>
      <c r="J28" s="30" t="str">
        <f t="shared" si="1"/>
        <v>-</v>
      </c>
      <c r="K28" s="23">
        <f t="shared" si="2"/>
      </c>
      <c r="L28" s="24">
        <f t="shared" si="3"/>
      </c>
      <c r="N28" s="841"/>
    </row>
    <row r="29" spans="2:14" ht="12.75" customHeight="1" hidden="1">
      <c r="B29" s="25" t="str">
        <f>IF(Ist!B9="","-",MID(Ist!B9,4,30))</f>
        <v>Mastschweine</v>
      </c>
      <c r="C29" s="18"/>
      <c r="D29" s="26">
        <f>IF('[2]E-Ist'!$G9="","",'[2]E-Ist'!$G9)</f>
        <v>0</v>
      </c>
      <c r="E29" s="27"/>
      <c r="H29" s="28">
        <f>IF(Ist!$G9="","",Ist!$G9)</f>
      </c>
      <c r="I29" s="29" t="str">
        <f t="shared" si="4"/>
        <v>Fehlt</v>
      </c>
      <c r="J29" s="30" t="str">
        <f t="shared" si="1"/>
        <v>-</v>
      </c>
      <c r="K29" s="23">
        <f t="shared" si="2"/>
      </c>
      <c r="L29" s="24">
        <f t="shared" si="3"/>
      </c>
      <c r="N29" s="841"/>
    </row>
    <row r="30" spans="2:14" ht="12.75" customHeight="1" hidden="1">
      <c r="B30" s="25" t="str">
        <f>IF(Ist!B10="","-",MID(Ist!B10,4,30))</f>
        <v>Kartoffel</v>
      </c>
      <c r="C30" s="18"/>
      <c r="D30" s="26">
        <f>IF('[2]E-Ist'!$G10="","",'[2]E-Ist'!$G10)</f>
        <v>0</v>
      </c>
      <c r="E30" s="27"/>
      <c r="H30" s="28">
        <f>IF(Ist!$G10="","",Ist!$G10)</f>
      </c>
      <c r="I30" s="29" t="str">
        <f t="shared" si="4"/>
        <v>Fehlt</v>
      </c>
      <c r="J30" s="30" t="str">
        <f t="shared" si="1"/>
        <v>-</v>
      </c>
      <c r="K30" s="23">
        <f t="shared" si="2"/>
      </c>
      <c r="L30" s="24">
        <f t="shared" si="3"/>
      </c>
      <c r="N30" s="841"/>
    </row>
    <row r="31" spans="2:14" ht="12.75" customHeight="1" hidden="1">
      <c r="B31" s="25" t="str">
        <f>IF(Ist!B11="","-",MID(Ist!B11,4,30))</f>
        <v>-</v>
      </c>
      <c r="C31" s="18"/>
      <c r="D31" s="26">
        <f>IF('[2]E-Ist'!$G11="","",'[2]E-Ist'!$G11)</f>
      </c>
      <c r="E31" s="27"/>
      <c r="H31" s="28">
        <f>IF(Ist!$G11="","",Ist!$G11)</f>
      </c>
      <c r="I31" s="29">
        <f t="shared" si="4"/>
      </c>
      <c r="J31" s="30" t="str">
        <f t="shared" si="1"/>
        <v>-</v>
      </c>
      <c r="K31" s="23">
        <f t="shared" si="2"/>
      </c>
      <c r="L31" s="24">
        <f t="shared" si="3"/>
      </c>
      <c r="N31" s="841"/>
    </row>
    <row r="32" spans="2:14" ht="12.75" customHeight="1" hidden="1">
      <c r="B32" s="25" t="str">
        <f>IF(Ist!B12="","-",MID(Ist!B12,4,30))</f>
        <v>-</v>
      </c>
      <c r="C32" s="18"/>
      <c r="D32" s="26">
        <f>IF('[2]E-Ist'!$G12="","",'[2]E-Ist'!$G12)</f>
      </c>
      <c r="E32" s="27"/>
      <c r="H32" s="28">
        <f>IF(Ist!$G12="","",Ist!$G12)</f>
      </c>
      <c r="I32" s="29">
        <f t="shared" si="4"/>
      </c>
      <c r="J32" s="30" t="str">
        <f t="shared" si="1"/>
        <v>-</v>
      </c>
      <c r="K32" s="23">
        <f t="shared" si="2"/>
      </c>
      <c r="L32" s="24">
        <f t="shared" si="3"/>
      </c>
      <c r="N32" s="841"/>
    </row>
    <row r="33" spans="2:14" ht="12.75" customHeight="1" hidden="1">
      <c r="B33" s="25" t="str">
        <f>IF(Ist!B13="","-",MID(Ist!B13,4,30))</f>
        <v>Feldfutter - Heu</v>
      </c>
      <c r="C33" s="18"/>
      <c r="D33" s="26">
        <f>IF('[2]E-Ist'!$G13="","",'[2]E-Ist'!$G13)</f>
        <v>71375</v>
      </c>
      <c r="E33" s="27"/>
      <c r="H33" s="28">
        <f>IF(Ist!$G13="","",Ist!$G13)</f>
        <v>71375</v>
      </c>
      <c r="I33" s="29" t="str">
        <f t="shared" si="4"/>
        <v>Richtig!</v>
      </c>
      <c r="J33" s="30" t="str">
        <f t="shared" si="1"/>
        <v>-</v>
      </c>
      <c r="K33" s="23">
        <f t="shared" si="2"/>
      </c>
      <c r="L33" s="24">
        <f t="shared" si="3"/>
      </c>
      <c r="N33" s="841"/>
    </row>
    <row r="34" spans="2:14" ht="12.75" customHeight="1">
      <c r="B34" s="25" t="str">
        <f>IF(Ist!B14="","-",MID(Ist!B14,4,30))</f>
        <v>Dauergrünland 3-schnittig</v>
      </c>
      <c r="C34" s="18"/>
      <c r="D34" s="26">
        <f>IF('[2]E-Ist'!$G14="","",'[2]E-Ist'!$G14)</f>
        <v>154968</v>
      </c>
      <c r="E34" s="27"/>
      <c r="H34" s="28">
        <f>IF(Ist!$G14="","",Ist!$G14)</f>
      </c>
      <c r="I34" s="29" t="str">
        <f t="shared" si="4"/>
        <v>Fehlt</v>
      </c>
      <c r="J34" s="30">
        <f t="shared" si="1"/>
        <v>0</v>
      </c>
      <c r="K34" s="23" t="str">
        <f t="shared" si="2"/>
        <v>│</v>
      </c>
      <c r="L34" s="24">
        <f t="shared" si="3"/>
        <v>1</v>
      </c>
      <c r="N34" s="841" t="s">
        <v>11</v>
      </c>
    </row>
    <row r="35" spans="2:14" ht="12.75" customHeight="1">
      <c r="B35" s="25" t="str">
        <f>IF(Ist!B15="","-",MID(Ist!B15,4,30))</f>
        <v>Dauergrünland 1-schnittig</v>
      </c>
      <c r="C35" s="18"/>
      <c r="D35" s="26">
        <f>IF('[2]E-Ist'!$G15="","",'[2]E-Ist'!$G15)</f>
        <v>37422</v>
      </c>
      <c r="E35" s="27"/>
      <c r="H35" s="28">
        <f>IF(Ist!$G15="","",Ist!$G15)</f>
      </c>
      <c r="I35" s="29" t="str">
        <f t="shared" si="4"/>
        <v>Fehlt</v>
      </c>
      <c r="J35" s="30">
        <f t="shared" si="1"/>
        <v>0</v>
      </c>
      <c r="K35" s="23" t="str">
        <f t="shared" si="2"/>
        <v>│</v>
      </c>
      <c r="L35" s="24">
        <f t="shared" si="3"/>
        <v>1</v>
      </c>
      <c r="N35" s="841" t="s">
        <v>11</v>
      </c>
    </row>
    <row r="36" spans="2:14" ht="12.75" customHeight="1" hidden="1">
      <c r="B36" s="25" t="str">
        <f>IF(Ist!B16="","-",MID(Ist!B16,4,30))</f>
        <v>-</v>
      </c>
      <c r="C36" s="18"/>
      <c r="D36" s="26">
        <f>IF('[2]E-Ist'!$G16="","",'[2]E-Ist'!$G16)</f>
      </c>
      <c r="E36" s="27"/>
      <c r="H36" s="28">
        <f>IF(Ist!$G16="","",Ist!$G16)</f>
      </c>
      <c r="I36" s="29">
        <f t="shared" si="4"/>
      </c>
      <c r="J36" s="30" t="str">
        <f t="shared" si="1"/>
        <v>-</v>
      </c>
      <c r="K36" s="23">
        <f t="shared" si="2"/>
      </c>
      <c r="L36" s="24">
        <f t="shared" si="3"/>
      </c>
      <c r="N36" s="841"/>
    </row>
    <row r="37" spans="2:14" ht="12.75" customHeight="1" hidden="1">
      <c r="B37" s="25" t="str">
        <f>IF(Ist!B17="","-",MID(Ist!B17,4,30))</f>
        <v>-</v>
      </c>
      <c r="C37" s="18"/>
      <c r="D37" s="26">
        <f>IF('[2]E-Ist'!$G17="","",'[2]E-Ist'!$G17)</f>
      </c>
      <c r="E37" s="27"/>
      <c r="H37" s="28">
        <f>IF(Ist!$G17="","",Ist!$G17)</f>
      </c>
      <c r="I37" s="29">
        <f t="shared" si="4"/>
      </c>
      <c r="J37" s="30" t="str">
        <f t="shared" si="1"/>
        <v>-</v>
      </c>
      <c r="K37" s="23">
        <f t="shared" si="2"/>
      </c>
      <c r="L37" s="24">
        <f t="shared" si="3"/>
      </c>
      <c r="N37" s="841"/>
    </row>
    <row r="38" spans="2:14" ht="12.75" customHeight="1" hidden="1">
      <c r="B38" s="25" t="str">
        <f>IF(Ist!B18="","-",MID(Ist!B18,4,30))</f>
        <v>-</v>
      </c>
      <c r="C38" s="18"/>
      <c r="D38" s="26">
        <f>IF('[2]E-Ist'!$G18="","",'[2]E-Ist'!$G18)</f>
      </c>
      <c r="E38" s="27"/>
      <c r="H38" s="28">
        <f>IF(Ist!$G18="","",Ist!$G18)</f>
      </c>
      <c r="I38" s="29">
        <f t="shared" si="4"/>
      </c>
      <c r="J38" s="30" t="str">
        <f t="shared" si="1"/>
        <v>-</v>
      </c>
      <c r="K38" s="23">
        <f t="shared" si="2"/>
      </c>
      <c r="L38" s="24">
        <f t="shared" si="3"/>
      </c>
      <c r="N38" s="841"/>
    </row>
    <row r="39" spans="2:14" ht="12.75" customHeight="1" hidden="1">
      <c r="B39" s="25" t="str">
        <f>IF(Ist!B19="","-",MID(Ist!B19,4,30))</f>
        <v>-</v>
      </c>
      <c r="C39" s="18"/>
      <c r="D39" s="26">
        <f>IF('[2]E-Ist'!$G19="","",'[2]E-Ist'!$G19)</f>
      </c>
      <c r="E39" s="27"/>
      <c r="H39" s="28">
        <f>IF(Ist!$G19="","",Ist!$G19)</f>
      </c>
      <c r="I39" s="29">
        <f t="shared" si="4"/>
      </c>
      <c r="J39" s="30" t="str">
        <f t="shared" si="1"/>
        <v>-</v>
      </c>
      <c r="K39" s="23">
        <f t="shared" si="2"/>
      </c>
      <c r="L39" s="24">
        <f t="shared" si="3"/>
      </c>
      <c r="N39" s="841"/>
    </row>
    <row r="40" spans="2:14" ht="12.75" customHeight="1">
      <c r="B40" s="25" t="str">
        <f>IF(Ist!F23="","-",Ist!F23)</f>
        <v> +/- Ges.
Energie</v>
      </c>
      <c r="C40" s="18"/>
      <c r="D40" s="31">
        <f>IF('[2]E-Ist'!$G23="","",'[2]E-Ist'!$G23)</f>
        <v>174791.52907712004</v>
      </c>
      <c r="E40" s="27"/>
      <c r="F40" s="32">
        <f>SUM(H26:H39)</f>
        <v>-17598.470922879962</v>
      </c>
      <c r="H40" s="33">
        <f>IF(Ist!$G23="","",Ist!$G23)</f>
      </c>
      <c r="I40" s="29" t="str">
        <f>IF(B40="-","",IF(H40=D40,"Richtig!",IF(AND(D40&lt;&gt;H40,F40=H40),"Formel: OK",IF(H40="","Fehlt","Falsch"))))</f>
        <v>Fehlt</v>
      </c>
      <c r="J40" s="30">
        <f t="shared" si="1"/>
        <v>0</v>
      </c>
      <c r="K40" s="23" t="str">
        <f t="shared" si="2"/>
        <v>│</v>
      </c>
      <c r="L40" s="24">
        <f t="shared" si="3"/>
        <v>1</v>
      </c>
      <c r="N40" s="841" t="str">
        <f>IF($L$1="","",$L$1)</f>
        <v>x</v>
      </c>
    </row>
    <row r="41" spans="1:14" ht="12.75" customHeight="1">
      <c r="A41" s="18"/>
      <c r="B41" s="18"/>
      <c r="C41" s="18"/>
      <c r="D41" s="34"/>
      <c r="E41" s="27"/>
      <c r="F41" s="27"/>
      <c r="H41" s="35"/>
      <c r="I41" s="29"/>
      <c r="J41" s="29"/>
      <c r="K41" s="23">
        <f t="shared" si="2"/>
      </c>
      <c r="L41" s="24">
        <f t="shared" si="3"/>
      </c>
      <c r="N41" s="842" t="str">
        <f>IF($L$1="","",$L$1)</f>
        <v>x</v>
      </c>
    </row>
    <row r="42" spans="1:14" ht="12.75" customHeight="1">
      <c r="A42" s="17" t="s">
        <v>14</v>
      </c>
      <c r="B42" s="17" t="s">
        <v>15</v>
      </c>
      <c r="C42" s="18"/>
      <c r="D42" s="19"/>
      <c r="H42" s="20"/>
      <c r="I42" s="21"/>
      <c r="J42" s="21"/>
      <c r="K42" s="23">
        <f t="shared" si="2"/>
      </c>
      <c r="L42" s="24">
        <f t="shared" si="3"/>
      </c>
      <c r="N42" s="839" t="str">
        <f>IF($L$1="","",$L$1)</f>
        <v>x</v>
      </c>
    </row>
    <row r="43" spans="1:14" ht="12.75" customHeight="1">
      <c r="A43" s="18"/>
      <c r="B43" s="36" t="str">
        <f>IF(Ist!B6="","-",MID(Ist!B6,4,30))</f>
        <v>Milchkuh</v>
      </c>
      <c r="C43" s="18"/>
      <c r="D43" s="26">
        <f>IF('[2]E-Ist'!$I6="","",'[2]E-Ist'!$I6)</f>
        <v>1416.2516666666668</v>
      </c>
      <c r="E43" s="27"/>
      <c r="F43" s="27"/>
      <c r="H43" s="28">
        <f>IF(Ist!$I6="","",Ist!$I6)</f>
      </c>
      <c r="I43" s="29" t="str">
        <f>IF(AND(D43="",H43=""),"",IF(H43=D43,"Richtig!",IF(H43="","Fehlt","Falsch")))</f>
        <v>Fehlt</v>
      </c>
      <c r="J43" s="30">
        <f t="shared" si="1"/>
        <v>0</v>
      </c>
      <c r="K43" s="23" t="str">
        <f t="shared" si="2"/>
        <v>│</v>
      </c>
      <c r="L43" s="24">
        <f t="shared" si="3"/>
        <v>1</v>
      </c>
      <c r="N43" s="841" t="s">
        <v>11</v>
      </c>
    </row>
    <row r="44" spans="1:14" ht="12.75" customHeight="1">
      <c r="A44" s="18"/>
      <c r="B44" s="36" t="str">
        <f>IF(Ist!B7="","-",MID(Ist!B7,4,30))</f>
        <v>Kalbinnen</v>
      </c>
      <c r="C44" s="18"/>
      <c r="D44" s="26">
        <f>IF('[2]E-Ist'!$I7="","",'[2]E-Ist'!$I7)</f>
        <v>120</v>
      </c>
      <c r="E44" s="27"/>
      <c r="F44" s="27"/>
      <c r="H44" s="28">
        <f>IF(Ist!$I7="","",Ist!$I7)</f>
      </c>
      <c r="I44" s="29" t="str">
        <f aca="true" t="shared" si="5" ref="I44:I56">IF(AND(D44="",H44=""),"",IF(H44=D44,"Richtig!",IF(H44="","Fehlt","Falsch")))</f>
        <v>Fehlt</v>
      </c>
      <c r="J44" s="30">
        <f t="shared" si="1"/>
        <v>0</v>
      </c>
      <c r="K44" s="23" t="str">
        <f t="shared" si="2"/>
        <v>│</v>
      </c>
      <c r="L44" s="24">
        <f t="shared" si="3"/>
        <v>1</v>
      </c>
      <c r="N44" s="841" t="str">
        <f>IF($L$1="","",$L$1)</f>
        <v>x</v>
      </c>
    </row>
    <row r="45" spans="1:14" ht="12.75" customHeight="1" hidden="1">
      <c r="A45" s="18"/>
      <c r="B45" s="36" t="str">
        <f>IF(Ist!B8="","-",MID(Ist!B8,4,30))</f>
        <v>Milchkälber</v>
      </c>
      <c r="C45" s="18"/>
      <c r="D45" s="26">
        <f>IF('[2]E-Ist'!$I8="","",'[2]E-Ist'!$I8)</f>
        <v>46.5</v>
      </c>
      <c r="E45" s="27"/>
      <c r="F45" s="27"/>
      <c r="H45" s="28">
        <f>IF(Ist!$I8="","",Ist!$I8)</f>
        <v>46.5</v>
      </c>
      <c r="I45" s="29" t="str">
        <f t="shared" si="5"/>
        <v>Richtig!</v>
      </c>
      <c r="J45" s="30" t="str">
        <f t="shared" si="1"/>
        <v>-</v>
      </c>
      <c r="K45" s="23">
        <f t="shared" si="2"/>
      </c>
      <c r="L45" s="24">
        <f t="shared" si="3"/>
      </c>
      <c r="N45" s="841"/>
    </row>
    <row r="46" spans="1:14" ht="12.75" customHeight="1" hidden="1">
      <c r="A46" s="18"/>
      <c r="B46" s="36" t="str">
        <f>IF(Ist!B9="","-",MID(Ist!B9,4,30))</f>
        <v>Mastschweine</v>
      </c>
      <c r="C46" s="18"/>
      <c r="D46" s="26">
        <f>IF('[2]E-Ist'!$I9="","",'[2]E-Ist'!$I9)</f>
        <v>12.8</v>
      </c>
      <c r="E46" s="27"/>
      <c r="F46" s="27"/>
      <c r="H46" s="28">
        <f>IF(Ist!$I9="","",Ist!$I9)</f>
        <v>12.8</v>
      </c>
      <c r="I46" s="29" t="str">
        <f t="shared" si="5"/>
        <v>Richtig!</v>
      </c>
      <c r="J46" s="30" t="str">
        <f t="shared" si="1"/>
        <v>-</v>
      </c>
      <c r="K46" s="23">
        <f t="shared" si="2"/>
      </c>
      <c r="L46" s="24">
        <f t="shared" si="3"/>
      </c>
      <c r="N46" s="841"/>
    </row>
    <row r="47" spans="1:14" ht="12.75" customHeight="1" hidden="1">
      <c r="A47" s="18"/>
      <c r="B47" s="36" t="str">
        <f>IF(Ist!B10="","-",MID(Ist!B10,4,30))</f>
        <v>Kartoffel</v>
      </c>
      <c r="C47" s="18"/>
      <c r="D47" s="26">
        <f>IF('[2]E-Ist'!$I10="","",'[2]E-Ist'!$I10)</f>
        <v>85</v>
      </c>
      <c r="E47" s="27"/>
      <c r="F47" s="27"/>
      <c r="H47" s="28">
        <f>IF(Ist!$I10="","",Ist!$I10)</f>
        <v>85</v>
      </c>
      <c r="I47" s="29" t="str">
        <f t="shared" si="5"/>
        <v>Richtig!</v>
      </c>
      <c r="J47" s="30" t="str">
        <f t="shared" si="1"/>
        <v>-</v>
      </c>
      <c r="K47" s="23">
        <f t="shared" si="2"/>
      </c>
      <c r="L47" s="24">
        <f t="shared" si="3"/>
      </c>
      <c r="N47" s="841"/>
    </row>
    <row r="48" spans="1:14" ht="12.75" customHeight="1" hidden="1">
      <c r="A48" s="18"/>
      <c r="B48" s="36" t="str">
        <f>IF(Ist!B11="","-",MID(Ist!B11,4,30))</f>
        <v>-</v>
      </c>
      <c r="C48" s="18"/>
      <c r="D48" s="26">
        <f>IF('[2]E-Ist'!$I11="","",'[2]E-Ist'!$I11)</f>
      </c>
      <c r="E48" s="27"/>
      <c r="F48" s="27"/>
      <c r="H48" s="28">
        <f>IF(Ist!$I11="","",Ist!$I11)</f>
      </c>
      <c r="I48" s="29">
        <f t="shared" si="5"/>
      </c>
      <c r="J48" s="30" t="str">
        <f t="shared" si="1"/>
        <v>-</v>
      </c>
      <c r="K48" s="23">
        <f t="shared" si="2"/>
      </c>
      <c r="L48" s="24">
        <f t="shared" si="3"/>
      </c>
      <c r="N48" s="841"/>
    </row>
    <row r="49" spans="1:14" ht="12.75" customHeight="1" hidden="1">
      <c r="A49" s="18"/>
      <c r="B49" s="36" t="str">
        <f>IF(Ist!B12="","-",MID(Ist!B12,4,30))</f>
        <v>-</v>
      </c>
      <c r="C49" s="18"/>
      <c r="D49" s="26">
        <f>IF('[2]E-Ist'!$I12="","",'[2]E-Ist'!$I12)</f>
      </c>
      <c r="E49" s="27"/>
      <c r="F49" s="27"/>
      <c r="H49" s="28">
        <f>IF(Ist!$I12="","",Ist!$I12)</f>
      </c>
      <c r="I49" s="29">
        <f t="shared" si="5"/>
      </c>
      <c r="J49" s="30" t="str">
        <f t="shared" si="1"/>
        <v>-</v>
      </c>
      <c r="K49" s="23">
        <f t="shared" si="2"/>
      </c>
      <c r="L49" s="24">
        <f t="shared" si="3"/>
      </c>
      <c r="N49" s="841"/>
    </row>
    <row r="50" spans="1:14" ht="12.75" customHeight="1" hidden="1">
      <c r="A50" s="18"/>
      <c r="B50" s="36" t="str">
        <f>IF(Ist!B13="","-",MID(Ist!B13,4,30))</f>
        <v>Feldfutter - Heu</v>
      </c>
      <c r="C50" s="18"/>
      <c r="D50" s="26">
        <f>IF('[2]E-Ist'!$I13="","",'[2]E-Ist'!$I13)</f>
        <v>53.75</v>
      </c>
      <c r="E50" s="27"/>
      <c r="F50" s="27"/>
      <c r="H50" s="28">
        <f>IF(Ist!$I13="","",Ist!$I13)</f>
        <v>53.75</v>
      </c>
      <c r="I50" s="29" t="str">
        <f t="shared" si="5"/>
        <v>Richtig!</v>
      </c>
      <c r="J50" s="30" t="str">
        <f t="shared" si="1"/>
        <v>-</v>
      </c>
      <c r="K50" s="23">
        <f t="shared" si="2"/>
      </c>
      <c r="L50" s="24">
        <f t="shared" si="3"/>
      </c>
      <c r="N50" s="841"/>
    </row>
    <row r="51" spans="1:14" ht="12.75" customHeight="1" hidden="1">
      <c r="A51" s="18"/>
      <c r="B51" s="36" t="str">
        <f>IF(Ist!B14="","-",MID(Ist!B14,4,30))</f>
        <v>Dauergrünland 3-schnittig</v>
      </c>
      <c r="C51" s="18"/>
      <c r="D51" s="26">
        <f>IF('[2]E-Ist'!$I14="","",'[2]E-Ist'!$I14)</f>
        <v>141.9</v>
      </c>
      <c r="E51" s="27"/>
      <c r="F51" s="27"/>
      <c r="H51" s="28">
        <f>IF(Ist!$I14="","",Ist!$I14)</f>
        <v>141.9</v>
      </c>
      <c r="I51" s="29" t="str">
        <f t="shared" si="5"/>
        <v>Richtig!</v>
      </c>
      <c r="J51" s="30" t="str">
        <f t="shared" si="1"/>
        <v>-</v>
      </c>
      <c r="K51" s="23">
        <f t="shared" si="2"/>
      </c>
      <c r="L51" s="24">
        <f t="shared" si="3"/>
      </c>
      <c r="N51" s="841"/>
    </row>
    <row r="52" spans="1:14" ht="12.75" customHeight="1" hidden="1">
      <c r="A52" s="18"/>
      <c r="B52" s="36" t="str">
        <f>IF(Ist!B15="","-",MID(Ist!B15,4,30))</f>
        <v>Dauergrünland 1-schnittig</v>
      </c>
      <c r="C52" s="18"/>
      <c r="D52" s="26">
        <f>IF('[2]E-Ist'!$I15="","",'[2]E-Ist'!$I15)</f>
        <v>81.76500000000001</v>
      </c>
      <c r="E52" s="27"/>
      <c r="F52" s="27"/>
      <c r="H52" s="28">
        <f>IF(Ist!$I15="","",Ist!$I15)</f>
        <v>81.76500000000001</v>
      </c>
      <c r="I52" s="29" t="str">
        <f t="shared" si="5"/>
        <v>Richtig!</v>
      </c>
      <c r="J52" s="30" t="str">
        <f t="shared" si="1"/>
        <v>-</v>
      </c>
      <c r="K52" s="23">
        <f t="shared" si="2"/>
      </c>
      <c r="L52" s="24">
        <f t="shared" si="3"/>
      </c>
      <c r="N52" s="841"/>
    </row>
    <row r="53" spans="1:14" ht="12.75" customHeight="1" hidden="1">
      <c r="A53" s="18"/>
      <c r="B53" s="36" t="str">
        <f>IF(Ist!B16="","-",MID(Ist!B16,4,30))</f>
        <v>-</v>
      </c>
      <c r="C53" s="18"/>
      <c r="D53" s="26">
        <f>IF('[2]E-Ist'!$I16="","",'[2]E-Ist'!$I16)</f>
      </c>
      <c r="E53" s="27"/>
      <c r="F53" s="27"/>
      <c r="H53" s="28">
        <f>IF(Ist!$I16="","",Ist!$I16)</f>
      </c>
      <c r="I53" s="29">
        <f t="shared" si="5"/>
      </c>
      <c r="J53" s="30" t="str">
        <f t="shared" si="1"/>
        <v>-</v>
      </c>
      <c r="K53" s="23">
        <f t="shared" si="2"/>
      </c>
      <c r="L53" s="24">
        <f t="shared" si="3"/>
      </c>
      <c r="N53" s="841"/>
    </row>
    <row r="54" spans="1:14" ht="12.75" customHeight="1" hidden="1">
      <c r="A54" s="18"/>
      <c r="B54" s="36" t="str">
        <f>IF(Ist!B17="","-",MID(Ist!B17,4,30))</f>
        <v>-</v>
      </c>
      <c r="C54" s="18"/>
      <c r="D54" s="26">
        <f>IF('[2]E-Ist'!$I17="","",'[2]E-Ist'!$I17)</f>
      </c>
      <c r="E54" s="27"/>
      <c r="F54" s="27"/>
      <c r="H54" s="28">
        <f>IF(Ist!$I17="","",Ist!$I17)</f>
      </c>
      <c r="I54" s="29">
        <f t="shared" si="5"/>
      </c>
      <c r="J54" s="30" t="str">
        <f t="shared" si="1"/>
        <v>-</v>
      </c>
      <c r="K54" s="23">
        <f t="shared" si="2"/>
      </c>
      <c r="L54" s="24">
        <f t="shared" si="3"/>
      </c>
      <c r="N54" s="841"/>
    </row>
    <row r="55" spans="1:14" ht="12.75" customHeight="1" hidden="1">
      <c r="A55" s="18"/>
      <c r="B55" s="36" t="str">
        <f>IF(Ist!B18="","-",MID(Ist!B18,4,30))</f>
        <v>-</v>
      </c>
      <c r="C55" s="18"/>
      <c r="D55" s="26">
        <f>IF('[2]E-Ist'!$I18="","",'[2]E-Ist'!$I18)</f>
      </c>
      <c r="E55" s="27"/>
      <c r="F55" s="27"/>
      <c r="H55" s="28">
        <f>IF(Ist!$I18="","",Ist!$I18)</f>
      </c>
      <c r="I55" s="29">
        <f t="shared" si="5"/>
      </c>
      <c r="J55" s="30" t="str">
        <f t="shared" si="1"/>
        <v>-</v>
      </c>
      <c r="K55" s="23">
        <f t="shared" si="2"/>
      </c>
      <c r="L55" s="24">
        <f t="shared" si="3"/>
      </c>
      <c r="N55" s="841"/>
    </row>
    <row r="56" spans="1:14" ht="12.75" customHeight="1" hidden="1">
      <c r="A56" s="18"/>
      <c r="B56" s="36" t="str">
        <f>IF(Ist!B19="","-",MID(Ist!B19,4,30))</f>
        <v>-</v>
      </c>
      <c r="C56" s="18"/>
      <c r="D56" s="26">
        <f>IF('[2]E-Ist'!$I19="","",'[2]E-Ist'!$I19)</f>
      </c>
      <c r="E56" s="27"/>
      <c r="F56" s="27"/>
      <c r="H56" s="28">
        <f>IF(Ist!$I19="","",Ist!$I19)</f>
      </c>
      <c r="I56" s="29">
        <f t="shared" si="5"/>
      </c>
      <c r="J56" s="30" t="str">
        <f t="shared" si="1"/>
        <v>-</v>
      </c>
      <c r="K56" s="23">
        <f t="shared" si="2"/>
      </c>
      <c r="L56" s="24">
        <f t="shared" si="3"/>
      </c>
      <c r="N56" s="841"/>
    </row>
    <row r="57" spans="1:14" ht="12.75" customHeight="1">
      <c r="A57" s="18"/>
      <c r="B57" s="36" t="s">
        <v>16</v>
      </c>
      <c r="C57" s="18"/>
      <c r="D57" s="31">
        <f>IF('[2]E-Ist'!$I23="","",'[2]E-Ist'!$I23)</f>
        <v>1957.966666666667</v>
      </c>
      <c r="E57" s="27"/>
      <c r="F57" s="32">
        <f>SUM(H43:H56)</f>
        <v>421.71500000000003</v>
      </c>
      <c r="H57" s="33">
        <f>IF(Ist!$I23="","",Ist!$I23)</f>
      </c>
      <c r="I57" s="29" t="str">
        <f>IF(B57="-","",IF(H57=D57,"Richtig!",IF(AND(D57&lt;&gt;H57,F57=H57),"Formel: OK",IF(H57="","Fehlt","Falsch"))))</f>
        <v>Fehlt</v>
      </c>
      <c r="J57" s="30">
        <f t="shared" si="1"/>
        <v>0</v>
      </c>
      <c r="K57" s="23" t="str">
        <f t="shared" si="2"/>
        <v>│</v>
      </c>
      <c r="L57" s="24">
        <f t="shared" si="3"/>
        <v>1</v>
      </c>
      <c r="N57" s="841" t="str">
        <f>IF($L$1="","",$L$1)</f>
        <v>x</v>
      </c>
    </row>
    <row r="58" spans="1:14" ht="12.75" customHeight="1">
      <c r="A58" s="18"/>
      <c r="B58" s="36"/>
      <c r="C58" s="18"/>
      <c r="D58" s="34"/>
      <c r="E58" s="27"/>
      <c r="F58" s="27"/>
      <c r="H58" s="35"/>
      <c r="I58" s="29"/>
      <c r="J58" s="29"/>
      <c r="K58" s="23">
        <f t="shared" si="2"/>
      </c>
      <c r="L58" s="24">
        <f t="shared" si="3"/>
      </c>
      <c r="N58" s="842" t="str">
        <f>IF($L$1="","",$L$1)</f>
        <v>x</v>
      </c>
    </row>
    <row r="59" spans="1:14" ht="12.75" customHeight="1">
      <c r="A59" s="17" t="s">
        <v>17</v>
      </c>
      <c r="B59" s="17" t="s">
        <v>18</v>
      </c>
      <c r="C59" s="18"/>
      <c r="D59" s="19"/>
      <c r="H59" s="20"/>
      <c r="I59" s="21"/>
      <c r="J59" s="21"/>
      <c r="K59" s="23">
        <f t="shared" si="2"/>
      </c>
      <c r="L59" s="24">
        <f t="shared" si="3"/>
      </c>
      <c r="N59" s="839" t="str">
        <f>IF($L$1="","",$L$1)</f>
        <v>x</v>
      </c>
    </row>
    <row r="60" spans="1:14" ht="12.75" customHeight="1">
      <c r="A60" s="17"/>
      <c r="B60" s="36" t="str">
        <f>IF(Ist!B26="","-",Ist!B26)</f>
        <v>Summe Sonstige Erträge</v>
      </c>
      <c r="C60" s="18"/>
      <c r="D60" s="26">
        <f>IF('[2]E-Ist'!$E26="","",'[2]E-Ist'!$E26)</f>
        <v>850</v>
      </c>
      <c r="E60" s="27"/>
      <c r="F60" s="27"/>
      <c r="H60" s="28">
        <f>IF(Ist!$E26="","",Ist!$E26)</f>
      </c>
      <c r="I60" s="29" t="str">
        <f>IF(AND(D60="",H60=""),"",IF(H60=D60,"Richtig!",IF(H60="","Fehlt","Falsch")))</f>
        <v>Fehlt</v>
      </c>
      <c r="J60" s="30">
        <f t="shared" si="1"/>
        <v>0</v>
      </c>
      <c r="K60" s="23" t="str">
        <f t="shared" si="2"/>
        <v>│</v>
      </c>
      <c r="L60" s="24">
        <f t="shared" si="3"/>
        <v>1</v>
      </c>
      <c r="N60" s="841" t="s">
        <v>11</v>
      </c>
    </row>
    <row r="61" spans="1:14" ht="12.75" customHeight="1">
      <c r="A61" s="18"/>
      <c r="B61" s="36" t="str">
        <f>IF(Ist!B35="","-",Ist!B35)</f>
        <v>SUMME FÖRDERUNGEN</v>
      </c>
      <c r="C61" s="18"/>
      <c r="D61" s="26">
        <f>IF('[2]E-Ist'!$E35="","",'[2]E-Ist'!$E35)</f>
        <v>7765</v>
      </c>
      <c r="E61" s="27"/>
      <c r="F61" s="27"/>
      <c r="H61" s="28">
        <f>IF(Ist!$E35="","",Ist!$E35)</f>
      </c>
      <c r="I61" s="29" t="str">
        <f>IF(AND(D61="",H61=""),"",IF(H61=D61,"Richtig!",IF(H61="","Fehlt","Falsch")))</f>
        <v>Fehlt</v>
      </c>
      <c r="J61" s="30">
        <f t="shared" si="1"/>
        <v>0</v>
      </c>
      <c r="K61" s="23" t="str">
        <f t="shared" si="2"/>
        <v>│</v>
      </c>
      <c r="L61" s="24">
        <f t="shared" si="3"/>
        <v>1</v>
      </c>
      <c r="N61" s="841" t="s">
        <v>11</v>
      </c>
    </row>
    <row r="62" spans="1:14" ht="12.75" customHeight="1" hidden="1">
      <c r="A62" s="18"/>
      <c r="B62" s="36" t="str">
        <f>IF(Ist!B37="","-",Ist!B37)</f>
        <v>GDB einschl. Förd. und sonst. Erträge</v>
      </c>
      <c r="C62" s="18"/>
      <c r="D62" s="31">
        <f>IF('[2]E-Ist'!$E37="","",'[2]E-Ist'!$E37)</f>
        <v>9533.086146666667</v>
      </c>
      <c r="E62" s="27"/>
      <c r="F62" s="32">
        <f>SUM(H23,H60,H61)</f>
        <v>0</v>
      </c>
      <c r="H62" s="33">
        <f>IF(Ist!$E37="","",Ist!$E37)</f>
        <v>0</v>
      </c>
      <c r="I62" s="29" t="str">
        <f>IF(B62="-","",IF(H62=D62,"Richtig!",IF(AND(D62&lt;&gt;H62,F62=H62),"Formel: OK",IF(H62="","Fehlt","Falsch"))))</f>
        <v>Formel: OK</v>
      </c>
      <c r="J62" s="30" t="str">
        <f t="shared" si="1"/>
        <v>-</v>
      </c>
      <c r="K62" s="23">
        <f t="shared" si="2"/>
      </c>
      <c r="L62" s="24">
        <f t="shared" si="3"/>
      </c>
      <c r="N62" s="841"/>
    </row>
    <row r="63" spans="1:14" ht="12.75" customHeight="1">
      <c r="A63" s="18"/>
      <c r="B63" s="36" t="str">
        <f>IF(Ist!B39="","-",Ist!B39)</f>
        <v>LANDWIRTSCHAFTLICHES EINKOMMEN - Gesamt</v>
      </c>
      <c r="C63" s="18"/>
      <c r="D63" s="31">
        <f>IF('[2]E-Ist'!$E39="","",'[2]E-Ist'!$E39)</f>
        <v>396.8456704761902</v>
      </c>
      <c r="E63" s="27"/>
      <c r="F63" s="32">
        <f>SUM(F62,Ist!E38)</f>
        <v>0</v>
      </c>
      <c r="H63" s="33">
        <f>IF(Ist!$E39="","",Ist!$E39)</f>
      </c>
      <c r="I63" s="29" t="str">
        <f>IF(B63="-","",IF(H63=D63,"Richtig!",IF(AND(D63&lt;&gt;H63,F63=H63),"Formel: OK",IF(H63="","Fehlt","Falsch"))))</f>
        <v>Fehlt</v>
      </c>
      <c r="J63" s="30">
        <f t="shared" si="1"/>
        <v>0</v>
      </c>
      <c r="K63" s="23" t="str">
        <f t="shared" si="2"/>
        <v>│</v>
      </c>
      <c r="L63" s="24">
        <f t="shared" si="3"/>
        <v>1</v>
      </c>
      <c r="N63" s="841" t="str">
        <f>IF($L$1="","",$L$1)</f>
        <v>x</v>
      </c>
    </row>
    <row r="64" spans="1:14" ht="12.75" customHeight="1">
      <c r="A64" s="18"/>
      <c r="B64" s="36" t="str">
        <f>IF(Ist!B40="","-",Ist!B40)</f>
        <v>LANDWIRTSCHAFTLICHES EINKOMMEN - EK/Akh</v>
      </c>
      <c r="C64" s="18"/>
      <c r="D64" s="31">
        <f>IF('[2]E-Ist'!$E40="","",'[2]E-Ist'!$E40)</f>
        <v>0.20268254676255476</v>
      </c>
      <c r="E64" s="27"/>
      <c r="F64" s="32" t="str">
        <f>IF(OR(H63="",H57=""),"-",H63/H57)</f>
        <v>-</v>
      </c>
      <c r="H64" s="33">
        <f>IF(Ist!$E40="","",Ist!$E40)</f>
      </c>
      <c r="I64" s="29" t="str">
        <f>IF(B64="-","",IF(H64=D64,"Richtig!",IF(AND(D64&lt;&gt;H64,F64=H64),"Formel: OK",IF(H64="","Fehlt","Falsch"))))</f>
        <v>Fehlt</v>
      </c>
      <c r="J64" s="30">
        <f t="shared" si="1"/>
        <v>0</v>
      </c>
      <c r="K64" s="23" t="str">
        <f t="shared" si="2"/>
        <v>│</v>
      </c>
      <c r="L64" s="24">
        <f t="shared" si="3"/>
        <v>1</v>
      </c>
      <c r="N64" s="841" t="str">
        <f>IF($L$1="","",$L$1)</f>
        <v>x</v>
      </c>
    </row>
    <row r="65" spans="1:14" ht="12.75" customHeight="1">
      <c r="A65" s="18"/>
      <c r="B65" s="36" t="str">
        <f>IF(Ist!B43="","-",Ist!B43)</f>
        <v>GESAMTEINKOMMEN</v>
      </c>
      <c r="C65" s="18"/>
      <c r="D65" s="31">
        <f>IF('[2]E-Ist'!$E43="","",'[2]E-Ist'!$E43)</f>
        <v>24446.845670476192</v>
      </c>
      <c r="E65" s="27"/>
      <c r="F65" s="32">
        <f>SUM(H63,Ist!E41:E42)</f>
        <v>24050</v>
      </c>
      <c r="H65" s="33">
        <f>IF(Ist!$E43="","",Ist!$E43)</f>
      </c>
      <c r="I65" s="29" t="str">
        <f>IF(B65="-","",IF(H65=D65,"Richtig!",IF(AND(D65&lt;&gt;H65,F65=H65),"Formel: OK",IF(H65="","Fehlt","Falsch"))))</f>
        <v>Fehlt</v>
      </c>
      <c r="J65" s="30">
        <f t="shared" si="1"/>
        <v>0</v>
      </c>
      <c r="K65" s="23" t="str">
        <f t="shared" si="2"/>
        <v>│</v>
      </c>
      <c r="L65" s="24">
        <f t="shared" si="3"/>
        <v>1</v>
      </c>
      <c r="N65" s="841" t="str">
        <f>IF($L$1="","",$L$1)</f>
        <v>x</v>
      </c>
    </row>
    <row r="66" spans="1:14" ht="12.75" customHeight="1" hidden="1">
      <c r="A66" s="18"/>
      <c r="B66" s="18"/>
      <c r="C66" s="18"/>
      <c r="D66" s="19"/>
      <c r="H66" s="20"/>
      <c r="I66" s="21"/>
      <c r="J66" s="21"/>
      <c r="K66" s="23">
        <f t="shared" si="2"/>
      </c>
      <c r="L66" s="24">
        <f t="shared" si="3"/>
      </c>
      <c r="N66" s="842"/>
    </row>
    <row r="67" spans="1:14" ht="12.75" customHeight="1" hidden="1">
      <c r="A67" s="17" t="s">
        <v>19</v>
      </c>
      <c r="B67" s="17" t="s">
        <v>20</v>
      </c>
      <c r="C67" s="18"/>
      <c r="D67" s="19"/>
      <c r="H67" s="20"/>
      <c r="I67" s="21"/>
      <c r="J67" s="21"/>
      <c r="K67" s="23">
        <f t="shared" si="2"/>
      </c>
      <c r="L67" s="24">
        <f t="shared" si="3"/>
      </c>
      <c r="N67" s="839"/>
    </row>
    <row r="68" spans="1:14" ht="12.75" customHeight="1" hidden="1">
      <c r="A68" s="18"/>
      <c r="B68" s="36" t="str">
        <f>IF(Ist!F32="","-",Ist!F32)</f>
        <v>Vorläufige Kapitaldienstgrenze</v>
      </c>
      <c r="C68" s="18"/>
      <c r="D68" s="31">
        <f>IF('[2]E-Ist'!$I32="","",'[2]E-Ist'!$I32)</f>
        <v>5794.845670476192</v>
      </c>
      <c r="E68" s="27"/>
      <c r="F68" s="32">
        <f>SUM(H65,Ist!I30:I31)</f>
        <v>-18652</v>
      </c>
      <c r="H68" s="33">
        <f>IF(Ist!$I32="","",Ist!$I32)</f>
        <v>-18652</v>
      </c>
      <c r="I68" s="29" t="str">
        <f>IF(B68="-","",IF(H68=D68,"Richtig!",IF(AND(D68&lt;&gt;H68,F68=H68),"Formel: OK",IF(H68="","Fehlt","Falsch"))))</f>
        <v>Formel: OK</v>
      </c>
      <c r="J68" s="30" t="str">
        <f t="shared" si="1"/>
        <v>-</v>
      </c>
      <c r="K68" s="23">
        <f t="shared" si="2"/>
      </c>
      <c r="L68" s="24">
        <f t="shared" si="3"/>
      </c>
      <c r="N68" s="841"/>
    </row>
    <row r="69" spans="1:14" ht="12.75" customHeight="1" hidden="1">
      <c r="A69" s="18"/>
      <c r="B69" s="36" t="str">
        <f>IF(Ist!F35="","-",Ist!F35)</f>
        <v>Kapitaldienstgrenze</v>
      </c>
      <c r="C69" s="18"/>
      <c r="D69" s="31">
        <f>IF('[2]E-Ist'!$I35="","",'[2]E-Ist'!$I35)</f>
        <v>6334.845670476192</v>
      </c>
      <c r="E69" s="27"/>
      <c r="F69" s="32">
        <f>SUM(H68,Ist!I33)</f>
        <v>-18112</v>
      </c>
      <c r="H69" s="33">
        <f>IF(Ist!$I35="","",Ist!$I35)</f>
        <v>-18112</v>
      </c>
      <c r="I69" s="29" t="str">
        <f>IF(B69="-","",IF(H69=D69,"Richtig!",IF(AND(D69&lt;&gt;H69,F69=H69),"Formel: OK",IF(H69="","Fehlt","Falsch"))))</f>
        <v>Formel: OK</v>
      </c>
      <c r="J69" s="30" t="str">
        <f t="shared" si="1"/>
        <v>-</v>
      </c>
      <c r="K69" s="23">
        <f t="shared" si="2"/>
      </c>
      <c r="L69" s="24">
        <f t="shared" si="3"/>
      </c>
      <c r="N69" s="841"/>
    </row>
    <row r="70" spans="1:14" ht="12.75" customHeight="1">
      <c r="A70" s="18"/>
      <c r="B70" s="18"/>
      <c r="C70" s="18"/>
      <c r="D70" s="19"/>
      <c r="H70" s="20"/>
      <c r="I70" s="21"/>
      <c r="J70" s="21"/>
      <c r="K70" s="23">
        <f t="shared" si="2"/>
      </c>
      <c r="L70" s="24">
        <f t="shared" si="3"/>
      </c>
      <c r="N70" s="842" t="str">
        <f aca="true" t="shared" si="6" ref="N70:N75">IF($L$1="","",$L$1)</f>
        <v>x</v>
      </c>
    </row>
    <row r="71" spans="1:14" ht="22.5">
      <c r="A71" s="10" t="str">
        <f>Plan!B1</f>
        <v>Berechnung geplanten Investition</v>
      </c>
      <c r="B71" s="11"/>
      <c r="C71" s="12"/>
      <c r="D71" s="13" t="s">
        <v>4</v>
      </c>
      <c r="E71" s="13"/>
      <c r="F71" s="14" t="s">
        <v>5</v>
      </c>
      <c r="G71" s="12"/>
      <c r="H71" s="14" t="s">
        <v>6</v>
      </c>
      <c r="I71" s="15" t="str">
        <f>"Fehler"</f>
        <v>Fehler</v>
      </c>
      <c r="J71" s="16" t="s">
        <v>7</v>
      </c>
      <c r="K71" s="16"/>
      <c r="L71" s="16"/>
      <c r="N71" s="840" t="str">
        <f t="shared" si="6"/>
        <v>x</v>
      </c>
    </row>
    <row r="72" spans="1:14" ht="12.75" customHeight="1">
      <c r="A72" s="17" t="s">
        <v>9</v>
      </c>
      <c r="B72" s="37" t="str">
        <f>Plan!E4</f>
        <v>Jährl. Afa</v>
      </c>
      <c r="C72" s="18"/>
      <c r="D72" s="19"/>
      <c r="H72" s="20"/>
      <c r="I72" s="21"/>
      <c r="J72" s="21"/>
      <c r="K72" s="23">
        <f t="shared" si="2"/>
      </c>
      <c r="L72" s="24">
        <f t="shared" si="3"/>
      </c>
      <c r="N72" s="839" t="str">
        <f t="shared" si="6"/>
        <v>x</v>
      </c>
    </row>
    <row r="73" spans="2:14" ht="12.75" customHeight="1">
      <c r="B73" s="25" t="str">
        <f>IF(Plan!$B5="","-",Plan!$B5)</f>
        <v>Stallbau: Errichtungskosten</v>
      </c>
      <c r="C73" s="38" t="s">
        <v>21</v>
      </c>
      <c r="D73" s="26">
        <f>IF('[2]E-Plan'!$E5="","",'[2]E-Plan'!$E5)</f>
        <v>1283.3333333333333</v>
      </c>
      <c r="E73" s="27"/>
      <c r="H73" s="28">
        <f>IF(Plan!$E5="","",Plan!$E5)</f>
      </c>
      <c r="I73" s="29" t="str">
        <f>IF(AND(D73="",H73=""),"",IF(D73=H73,"Richtig!",IF(H73="","Fehlt","Falsch")))</f>
        <v>Fehlt</v>
      </c>
      <c r="J73" s="30">
        <f t="shared" si="1"/>
        <v>0</v>
      </c>
      <c r="K73" s="23" t="str">
        <f t="shared" si="2"/>
        <v>│</v>
      </c>
      <c r="L73" s="24">
        <f t="shared" si="3"/>
        <v>1</v>
      </c>
      <c r="N73" s="841" t="str">
        <f t="shared" si="6"/>
        <v>x</v>
      </c>
    </row>
    <row r="74" spans="2:14" ht="12.75">
      <c r="B74" s="25" t="str">
        <f>IF(Plan!$B6="","-",Plan!$B6)</f>
        <v>Ausstattung</v>
      </c>
      <c r="C74" s="38" t="s">
        <v>21</v>
      </c>
      <c r="D74" s="26">
        <f>IF('[2]E-Plan'!$E6="","",'[2]E-Plan'!$E6)</f>
        <v>200</v>
      </c>
      <c r="E74" s="27"/>
      <c r="H74" s="28">
        <f>IF(Plan!$E6="","",Plan!$E6)</f>
      </c>
      <c r="I74" s="29" t="str">
        <f>IF(AND(D74="",H74=""),"",IF(D74=H74,"Richtig!",IF(H74="","Fehlt","Falsch")))</f>
        <v>Fehlt</v>
      </c>
      <c r="J74" s="30">
        <f aca="true" t="shared" si="7" ref="J74:J136">IF(OR(B74="-",N74="",AND(D74="",H74="")),"-",IF(I74="Richtig!",1,IF(I74="Formel: OK",0.5,IF(OR(I74="Falsch",I74="Fehlt"),0,""))))</f>
        <v>0</v>
      </c>
      <c r="K74" s="23" t="str">
        <f aca="true" t="shared" si="8" ref="K74:K137">IF(L74="","","│")</f>
        <v>│</v>
      </c>
      <c r="L74" s="24">
        <f aca="true" t="shared" si="9" ref="L74:L137">IF(OR(B74="-",N74="",AND(D74="",H74="")),"",1)</f>
        <v>1</v>
      </c>
      <c r="N74" s="841" t="str">
        <f t="shared" si="6"/>
        <v>x</v>
      </c>
    </row>
    <row r="75" spans="2:14" ht="12.75">
      <c r="B75" s="25" t="str">
        <f>IF(Plan!$B7="","-",Plan!$B7)</f>
        <v>Tierzukauf</v>
      </c>
      <c r="C75" s="38" t="s">
        <v>21</v>
      </c>
      <c r="D75" s="26">
        <f>IF('[2]E-Plan'!$E7="","",'[2]E-Plan'!$E7)</f>
        <v>6340</v>
      </c>
      <c r="E75" s="27"/>
      <c r="H75" s="28">
        <f>IF(Plan!$E7="","",Plan!$E7)</f>
      </c>
      <c r="I75" s="29" t="str">
        <f>IF(AND(D75="",H75=""),"",IF(D75=H75,"Richtig!",IF(H75="","Fehlt","Falsch")))</f>
        <v>Fehlt</v>
      </c>
      <c r="J75" s="30">
        <f t="shared" si="7"/>
        <v>0</v>
      </c>
      <c r="K75" s="23" t="str">
        <f t="shared" si="8"/>
        <v>│</v>
      </c>
      <c r="L75" s="24">
        <f t="shared" si="9"/>
        <v>1</v>
      </c>
      <c r="N75" s="841" t="str">
        <f t="shared" si="6"/>
        <v>x</v>
      </c>
    </row>
    <row r="76" spans="2:14" ht="12.75" hidden="1">
      <c r="B76" s="25" t="str">
        <f>IF(Plan!$B8="","-",Plan!$B8)</f>
        <v>-</v>
      </c>
      <c r="C76" s="38" t="s">
        <v>21</v>
      </c>
      <c r="D76" s="26">
        <f>IF('[2]E-Plan'!$E8="","",'[2]E-Plan'!$E8)</f>
      </c>
      <c r="E76" s="27"/>
      <c r="H76" s="28">
        <f>IF(Plan!$E8="","",Plan!$E8)</f>
      </c>
      <c r="I76" s="29">
        <f>IF(AND(D76="",H76=""),"",IF(D76=H76,"Richtig!",IF(H76="","Fehlt","Falsch")))</f>
      </c>
      <c r="J76" s="30" t="str">
        <f t="shared" si="7"/>
        <v>-</v>
      </c>
      <c r="K76" s="23">
        <f t="shared" si="8"/>
      </c>
      <c r="L76" s="24">
        <f t="shared" si="9"/>
      </c>
      <c r="N76" s="841"/>
    </row>
    <row r="77" spans="2:14" ht="12.75" hidden="1">
      <c r="B77" s="25" t="str">
        <f>IF(Plan!$B9="","-",Plan!$B9)</f>
        <v>-</v>
      </c>
      <c r="C77" s="38" t="s">
        <v>21</v>
      </c>
      <c r="D77" s="26">
        <f>IF('[2]E-Plan'!$E9="","",'[2]E-Plan'!$E9)</f>
      </c>
      <c r="E77" s="27"/>
      <c r="H77" s="28">
        <f>IF(Plan!$E9="","",Plan!$E9)</f>
      </c>
      <c r="I77" s="29">
        <f>IF(AND(D77="",H77=""),"",IF(D77=H77,"Richtig!",IF(H77="","Fehlt","Falsch")))</f>
      </c>
      <c r="J77" s="30" t="str">
        <f t="shared" si="7"/>
        <v>-</v>
      </c>
      <c r="K77" s="23">
        <f t="shared" si="8"/>
      </c>
      <c r="L77" s="24">
        <f t="shared" si="9"/>
      </c>
      <c r="N77" s="841"/>
    </row>
    <row r="78" spans="2:14" ht="12.75" customHeight="1">
      <c r="B78" s="25" t="str">
        <f>IF(Plan!D12="","-",Plan!D12)</f>
        <v>∑ Afa</v>
      </c>
      <c r="C78" s="38" t="s">
        <v>21</v>
      </c>
      <c r="D78" s="31">
        <f>IF('[2]E-Plan'!$E12="","",'[2]E-Plan'!$E12)</f>
        <v>7823.333333333333</v>
      </c>
      <c r="E78" s="27"/>
      <c r="F78" s="32">
        <f>SUM(H73:H77)</f>
        <v>0</v>
      </c>
      <c r="H78" s="33">
        <f>IF(Plan!$E12="","",Plan!$E12)</f>
      </c>
      <c r="I78" s="29" t="str">
        <f>IF(B78="-","",IF(D78=H78,"Richtig!",IF(AND(D78&lt;&gt;H78,F78=H78),"Formel: OK",IF(H78="","Fehlt","Falsch"))))</f>
        <v>Fehlt</v>
      </c>
      <c r="J78" s="30">
        <f t="shared" si="7"/>
        <v>0</v>
      </c>
      <c r="K78" s="23" t="str">
        <f t="shared" si="8"/>
        <v>│</v>
      </c>
      <c r="L78" s="24">
        <f t="shared" si="9"/>
        <v>1</v>
      </c>
      <c r="N78" s="841" t="str">
        <f>IF($L$1="","",$L$1)</f>
        <v>x</v>
      </c>
    </row>
    <row r="79" spans="2:14" ht="12.75" hidden="1">
      <c r="B79" s="25" t="str">
        <f>IF(Plan!B12="","-",Plan!B12)</f>
        <v>Investitionssumme</v>
      </c>
      <c r="C79" s="38" t="s">
        <v>21</v>
      </c>
      <c r="D79" s="26">
        <f>IF('[2]E-Plan'!$C12="","",'[2]E-Plan'!$C12)</f>
        <v>56650</v>
      </c>
      <c r="E79" s="27"/>
      <c r="H79" s="28">
        <f>IF(Plan!$C12="","",Plan!$C12)</f>
        <v>56650</v>
      </c>
      <c r="I79" s="29" t="str">
        <f>IF(AND(D79="",H79=""),"",IF(D79=H79,"Richtig!",IF(H79="","Fehlt","Falsch")))</f>
        <v>Richtig!</v>
      </c>
      <c r="J79" s="30" t="str">
        <f t="shared" si="7"/>
        <v>-</v>
      </c>
      <c r="K79" s="23">
        <f t="shared" si="8"/>
      </c>
      <c r="L79" s="24">
        <f t="shared" si="9"/>
      </c>
      <c r="N79" s="841"/>
    </row>
    <row r="80" spans="2:14" ht="12.75" hidden="1">
      <c r="B80" s="25" t="str">
        <f>IF(Plan!F12="","-",Plan!F12)</f>
        <v>Finanzbedarf</v>
      </c>
      <c r="C80" s="38" t="s">
        <v>21</v>
      </c>
      <c r="D80" s="26">
        <f>IF('[2]E-Plan'!$G12="","",'[2]E-Plan'!$G12)</f>
        <v>56650</v>
      </c>
      <c r="E80" s="27"/>
      <c r="H80" s="28">
        <f>IF(Plan!$G12="","",Plan!$G12)</f>
        <v>56650</v>
      </c>
      <c r="I80" s="29" t="str">
        <f>IF(AND(D80="",H80=""),"",IF(D80=H80,"Richtig!",IF(H80="","Fehlt","Falsch")))</f>
        <v>Richtig!</v>
      </c>
      <c r="J80" s="30" t="str">
        <f t="shared" si="7"/>
        <v>-</v>
      </c>
      <c r="K80" s="23">
        <f t="shared" si="8"/>
      </c>
      <c r="L80" s="24">
        <f t="shared" si="9"/>
      </c>
      <c r="N80" s="841"/>
    </row>
    <row r="81" spans="1:14" ht="12.75" customHeight="1">
      <c r="A81" s="18"/>
      <c r="C81" s="38"/>
      <c r="D81" s="34"/>
      <c r="E81" s="27"/>
      <c r="F81" s="27"/>
      <c r="H81" s="35"/>
      <c r="I81" s="29"/>
      <c r="J81" s="29"/>
      <c r="K81" s="23">
        <f t="shared" si="8"/>
      </c>
      <c r="L81" s="24">
        <f t="shared" si="9"/>
      </c>
      <c r="N81" s="842" t="str">
        <f>IF($L$1="","",$L$1)</f>
        <v>x</v>
      </c>
    </row>
    <row r="82" spans="1:14" ht="12.75" customHeight="1">
      <c r="A82" s="17" t="s">
        <v>12</v>
      </c>
      <c r="B82" s="37" t="str">
        <f>Plan!D18</f>
        <v>Deckungsbeitrag (+) bzw Variable Kosten (-)</v>
      </c>
      <c r="C82" s="38"/>
      <c r="D82" s="19"/>
      <c r="H82" s="20"/>
      <c r="I82" s="21"/>
      <c r="J82" s="21"/>
      <c r="K82" s="23">
        <f t="shared" si="8"/>
      </c>
      <c r="L82" s="24">
        <f t="shared" si="9"/>
      </c>
      <c r="N82" s="839" t="str">
        <f>IF($L$1="","",$L$1)</f>
        <v>x</v>
      </c>
    </row>
    <row r="83" spans="2:14" ht="12.75" customHeight="1">
      <c r="B83" s="25" t="str">
        <f>IF(Plan!B21="","-",Plan!B21)</f>
        <v>DB Lämmer</v>
      </c>
      <c r="C83" s="38" t="s">
        <v>21</v>
      </c>
      <c r="D83" s="31">
        <f>IF('[2]E-Plan'!$E21="","",'[2]E-Plan'!$E21)</f>
        <v>5441.520000000001</v>
      </c>
      <c r="E83" s="27"/>
      <c r="F83" s="32">
        <f>IF(OR(Plan!C21="",Plan!D21=""),"-",Plan!C21*Plan!D21)</f>
        <v>5441.520000000001</v>
      </c>
      <c r="H83" s="33">
        <f>IF(Plan!$E21="","",Plan!$E21)</f>
      </c>
      <c r="I83" s="29" t="str">
        <f aca="true" t="shared" si="10" ref="I83:I97">IF(B83="-","",IF(D83=H83,"Richtig!",IF(AND(D83&lt;&gt;H83,F83=H83),"Formel: OK",IF(H83="","Fehlt","Falsch"))))</f>
        <v>Fehlt</v>
      </c>
      <c r="J83" s="30">
        <f t="shared" si="7"/>
        <v>0</v>
      </c>
      <c r="K83" s="23" t="str">
        <f t="shared" si="8"/>
        <v>│</v>
      </c>
      <c r="L83" s="24">
        <f t="shared" si="9"/>
        <v>1</v>
      </c>
      <c r="N83" s="841" t="str">
        <f>IF($L$1="","",$L$1)</f>
        <v>x</v>
      </c>
    </row>
    <row r="84" spans="2:14" ht="12.75" customHeight="1" hidden="1">
      <c r="B84" s="25" t="str">
        <f>IF(Plan!B22="","-",Plan!B22)</f>
        <v>DB Kartoffel</v>
      </c>
      <c r="C84" s="38" t="s">
        <v>21</v>
      </c>
      <c r="D84" s="31">
        <f>IF('[2]E-Plan'!$E22="","",'[2]E-Plan'!$E22)</f>
        <v>1890</v>
      </c>
      <c r="E84" s="27"/>
      <c r="F84" s="32">
        <f>IF(OR(Plan!C22="",Plan!D22=""),"-",Plan!C22*Plan!D22)</f>
        <v>1890</v>
      </c>
      <c r="H84" s="33">
        <f>IF(Plan!$E22="","",Plan!$E22)</f>
        <v>1890</v>
      </c>
      <c r="I84" s="29" t="str">
        <f t="shared" si="10"/>
        <v>Richtig!</v>
      </c>
      <c r="J84" s="30" t="str">
        <f t="shared" si="7"/>
        <v>-</v>
      </c>
      <c r="K84" s="23">
        <f t="shared" si="8"/>
      </c>
      <c r="L84" s="24">
        <f t="shared" si="9"/>
      </c>
      <c r="N84" s="841"/>
    </row>
    <row r="85" spans="2:14" ht="12.75" customHeight="1" hidden="1">
      <c r="B85" s="25" t="str">
        <f>IF(Plan!B23="","-",Plan!B23)</f>
        <v>-</v>
      </c>
      <c r="C85" s="38" t="s">
        <v>21</v>
      </c>
      <c r="D85" s="31">
        <f>IF('[2]E-Plan'!$E23="","",'[2]E-Plan'!$E23)</f>
      </c>
      <c r="E85" s="27"/>
      <c r="F85" s="32" t="str">
        <f>IF(OR(Plan!C23="",Plan!D23=""),"-",Plan!C23*Plan!D23)</f>
        <v>-</v>
      </c>
      <c r="H85" s="33">
        <f>IF(Plan!$E23="","",Plan!$E23)</f>
      </c>
      <c r="I85" s="29">
        <f t="shared" si="10"/>
      </c>
      <c r="J85" s="30" t="str">
        <f t="shared" si="7"/>
        <v>-</v>
      </c>
      <c r="K85" s="23">
        <f t="shared" si="8"/>
      </c>
      <c r="L85" s="24">
        <f t="shared" si="9"/>
      </c>
      <c r="N85" s="841"/>
    </row>
    <row r="86" spans="2:14" ht="12.75" customHeight="1" hidden="1">
      <c r="B86" s="25" t="str">
        <f>IF(Plan!B24="","-",Plan!B24)</f>
        <v>-</v>
      </c>
      <c r="C86" s="38" t="s">
        <v>21</v>
      </c>
      <c r="D86" s="31">
        <f>IF('[2]E-Plan'!$E24="","",'[2]E-Plan'!$E24)</f>
      </c>
      <c r="E86" s="27"/>
      <c r="F86" s="32" t="str">
        <f>IF(OR(Plan!C24="",Plan!D24=""),"-",Plan!C24*Plan!D24)</f>
        <v>-</v>
      </c>
      <c r="H86" s="33">
        <f>IF(Plan!$E24="","",Plan!$E24)</f>
      </c>
      <c r="I86" s="29">
        <f t="shared" si="10"/>
      </c>
      <c r="J86" s="30" t="str">
        <f t="shared" si="7"/>
        <v>-</v>
      </c>
      <c r="K86" s="23">
        <f t="shared" si="8"/>
      </c>
      <c r="L86" s="24">
        <f t="shared" si="9"/>
      </c>
      <c r="N86" s="841"/>
    </row>
    <row r="87" spans="2:14" ht="12.75" customHeight="1" hidden="1">
      <c r="B87" s="25" t="str">
        <f>IF(Plan!B25="","-",Plan!B25)</f>
        <v>-</v>
      </c>
      <c r="C87" s="38" t="s">
        <v>21</v>
      </c>
      <c r="D87" s="31">
        <f>IF('[2]E-Plan'!$E25="","",'[2]E-Plan'!$E25)</f>
      </c>
      <c r="E87" s="27"/>
      <c r="F87" s="32" t="str">
        <f>IF(OR(Plan!C25="",Plan!D25=""),"-",Plan!C25*Plan!D25)</f>
        <v>-</v>
      </c>
      <c r="H87" s="33">
        <f>IF(Plan!$E25="","",Plan!$E25)</f>
      </c>
      <c r="I87" s="29">
        <f t="shared" si="10"/>
      </c>
      <c r="J87" s="30" t="str">
        <f t="shared" si="7"/>
        <v>-</v>
      </c>
      <c r="K87" s="23">
        <f t="shared" si="8"/>
      </c>
      <c r="L87" s="24">
        <f t="shared" si="9"/>
      </c>
      <c r="N87" s="841"/>
    </row>
    <row r="88" spans="2:14" ht="12.75" customHeight="1" hidden="1">
      <c r="B88" s="25" t="str">
        <f>IF(Plan!B26="","-",Plan!B26)</f>
        <v>-</v>
      </c>
      <c r="C88" s="38" t="s">
        <v>21</v>
      </c>
      <c r="D88" s="31">
        <f>IF('[2]E-Plan'!$E26="","",'[2]E-Plan'!$E26)</f>
      </c>
      <c r="E88" s="27"/>
      <c r="F88" s="32" t="str">
        <f>IF(OR(Plan!C26="",Plan!D26=""),"-",Plan!C26*Plan!D26)</f>
        <v>-</v>
      </c>
      <c r="H88" s="33">
        <f>IF(Plan!$E26="","",Plan!$E26)</f>
      </c>
      <c r="I88" s="29">
        <f t="shared" si="10"/>
      </c>
      <c r="J88" s="30" t="str">
        <f t="shared" si="7"/>
        <v>-</v>
      </c>
      <c r="K88" s="23">
        <f t="shared" si="8"/>
      </c>
      <c r="L88" s="24">
        <f t="shared" si="9"/>
      </c>
      <c r="N88" s="841"/>
    </row>
    <row r="89" spans="2:14" ht="12.75" customHeight="1" hidden="1">
      <c r="B89" s="25" t="str">
        <f>IF(Plan!B27="","-",Plan!B27)</f>
        <v>-</v>
      </c>
      <c r="C89" s="38" t="s">
        <v>21</v>
      </c>
      <c r="D89" s="31">
        <f>IF('[2]E-Plan'!$E27="","",'[2]E-Plan'!$E27)</f>
      </c>
      <c r="E89" s="27"/>
      <c r="F89" s="32" t="str">
        <f>IF(OR(Plan!C27="",Plan!D27=""),"-",Plan!C27*Plan!D27)</f>
        <v>-</v>
      </c>
      <c r="H89" s="33">
        <f>IF(Plan!$E27="","",Plan!$E27)</f>
      </c>
      <c r="I89" s="29">
        <f t="shared" si="10"/>
      </c>
      <c r="J89" s="30" t="str">
        <f t="shared" si="7"/>
        <v>-</v>
      </c>
      <c r="K89" s="23">
        <f t="shared" si="8"/>
      </c>
      <c r="L89" s="24">
        <f t="shared" si="9"/>
      </c>
      <c r="N89" s="841"/>
    </row>
    <row r="90" spans="2:14" ht="12.75" customHeight="1" hidden="1">
      <c r="B90" s="25" t="str">
        <f>IF(Plan!B28="","-",Plan!B28)</f>
        <v>VK Feldfutter  - Silage</v>
      </c>
      <c r="C90" s="38" t="s">
        <v>21</v>
      </c>
      <c r="D90" s="31">
        <f>IF('[2]E-Plan'!$E28="","",'[2]E-Plan'!$E28)</f>
        <v>-3463.2000000000003</v>
      </c>
      <c r="E90" s="27"/>
      <c r="F90" s="32">
        <f>IF(OR(Plan!C28="",Plan!D28=""),"-",Plan!C28*-Plan!D28)</f>
        <v>-3463.2000000000003</v>
      </c>
      <c r="H90" s="33">
        <f>IF(Plan!$E28="","",Plan!$E28)</f>
        <v>-3463.2000000000003</v>
      </c>
      <c r="I90" s="29" t="str">
        <f t="shared" si="10"/>
        <v>Richtig!</v>
      </c>
      <c r="J90" s="30" t="str">
        <f t="shared" si="7"/>
        <v>-</v>
      </c>
      <c r="K90" s="23">
        <f t="shared" si="8"/>
      </c>
      <c r="L90" s="24">
        <f t="shared" si="9"/>
      </c>
      <c r="N90" s="841"/>
    </row>
    <row r="91" spans="2:14" ht="12.75" customHeight="1" hidden="1">
      <c r="B91" s="25" t="str">
        <f>IF(Plan!B29="","-",Plan!B29)</f>
        <v>VK Dauergrünland 3-schnittig</v>
      </c>
      <c r="C91" s="38" t="s">
        <v>21</v>
      </c>
      <c r="D91" s="31">
        <f>IF('[2]E-Plan'!$E29="","",'[2]E-Plan'!$E29)</f>
        <v>-3499.2000000000003</v>
      </c>
      <c r="E91" s="27"/>
      <c r="F91" s="32">
        <f>IF(OR(Plan!C29="",Plan!D29=""),"-",Plan!C29*-Plan!D29)</f>
        <v>-3499.2000000000003</v>
      </c>
      <c r="H91" s="33">
        <f>IF(Plan!$E29="","",Plan!$E29)</f>
        <v>-3499.2000000000003</v>
      </c>
      <c r="I91" s="29" t="str">
        <f t="shared" si="10"/>
        <v>Richtig!</v>
      </c>
      <c r="J91" s="30" t="str">
        <f t="shared" si="7"/>
        <v>-</v>
      </c>
      <c r="K91" s="23">
        <f t="shared" si="8"/>
      </c>
      <c r="L91" s="24">
        <f t="shared" si="9"/>
      </c>
      <c r="N91" s="841"/>
    </row>
    <row r="92" spans="2:14" ht="12.75" customHeight="1" hidden="1">
      <c r="B92" s="25" t="str">
        <f>IF(Plan!B30="","-",Plan!B30)</f>
        <v>VK Dauergrünland 1-schnittig</v>
      </c>
      <c r="C92" s="38" t="s">
        <v>21</v>
      </c>
      <c r="D92" s="31">
        <f>IF('[2]E-Plan'!$E30="","",'[2]E-Plan'!$E30)</f>
        <v>-1232.3073600000002</v>
      </c>
      <c r="E92" s="27"/>
      <c r="F92" s="32">
        <f>IF(OR(Plan!C30="",Plan!D30=""),"-",Plan!C30*-Plan!D30)</f>
        <v>-1232.3073600000002</v>
      </c>
      <c r="H92" s="33">
        <f>IF(Plan!$E30="","",Plan!$E30)</f>
        <v>-1232.3073600000002</v>
      </c>
      <c r="I92" s="29" t="str">
        <f t="shared" si="10"/>
        <v>Richtig!</v>
      </c>
      <c r="J92" s="30" t="str">
        <f t="shared" si="7"/>
        <v>-</v>
      </c>
      <c r="K92" s="23">
        <f t="shared" si="8"/>
      </c>
      <c r="L92" s="24">
        <f t="shared" si="9"/>
      </c>
      <c r="N92" s="841"/>
    </row>
    <row r="93" spans="2:14" ht="12.75" customHeight="1" hidden="1">
      <c r="B93" s="25" t="str">
        <f>IF(Plan!B31="","-",Plan!B31)</f>
        <v>-</v>
      </c>
      <c r="C93" s="38" t="s">
        <v>21</v>
      </c>
      <c r="D93" s="31">
        <f>IF('[2]E-Plan'!$E31="","",'[2]E-Plan'!$E31)</f>
      </c>
      <c r="E93" s="27"/>
      <c r="F93" s="32" t="str">
        <f>IF(OR(Plan!C31="",Plan!D31=""),"-",Plan!C31*-Plan!D31)</f>
        <v>-</v>
      </c>
      <c r="H93" s="33">
        <f>IF(Plan!$E31="","",Plan!$E31)</f>
      </c>
      <c r="I93" s="29">
        <f t="shared" si="10"/>
      </c>
      <c r="J93" s="30" t="str">
        <f t="shared" si="7"/>
        <v>-</v>
      </c>
      <c r="K93" s="23">
        <f t="shared" si="8"/>
      </c>
      <c r="L93" s="24">
        <f t="shared" si="9"/>
      </c>
      <c r="N93" s="841"/>
    </row>
    <row r="94" spans="2:14" ht="12.75" customHeight="1" hidden="1">
      <c r="B94" s="25" t="str">
        <f>IF(Plan!B32="","-",Plan!B32)</f>
        <v>-</v>
      </c>
      <c r="C94" s="38" t="s">
        <v>21</v>
      </c>
      <c r="D94" s="31">
        <f>IF('[2]E-Plan'!$E32="","",'[2]E-Plan'!$E32)</f>
      </c>
      <c r="E94" s="27"/>
      <c r="F94" s="32" t="str">
        <f>IF(OR(Plan!C32="",Plan!D32=""),"-",Plan!C32*-Plan!D32)</f>
        <v>-</v>
      </c>
      <c r="H94" s="33">
        <f>IF(Plan!$E32="","",Plan!$E32)</f>
      </c>
      <c r="I94" s="29">
        <f t="shared" si="10"/>
      </c>
      <c r="J94" s="30" t="str">
        <f t="shared" si="7"/>
        <v>-</v>
      </c>
      <c r="K94" s="23">
        <f t="shared" si="8"/>
      </c>
      <c r="L94" s="24">
        <f t="shared" si="9"/>
      </c>
      <c r="N94" s="841"/>
    </row>
    <row r="95" spans="2:14" ht="12.75" customHeight="1" hidden="1">
      <c r="B95" s="25" t="str">
        <f>IF(Plan!B33="","-",Plan!B33)</f>
        <v>-</v>
      </c>
      <c r="C95" s="38" t="s">
        <v>21</v>
      </c>
      <c r="D95" s="31">
        <f>IF('[2]E-Plan'!$E33="","",'[2]E-Plan'!$E33)</f>
      </c>
      <c r="E95" s="27"/>
      <c r="F95" s="32" t="str">
        <f>IF(OR(Plan!C33="",Plan!D33=""),"-",Plan!C33*-Plan!D33)</f>
        <v>-</v>
      </c>
      <c r="H95" s="33">
        <f>IF(Plan!$E33="","",Plan!$E33)</f>
      </c>
      <c r="I95" s="29">
        <f t="shared" si="10"/>
      </c>
      <c r="J95" s="30" t="str">
        <f t="shared" si="7"/>
        <v>-</v>
      </c>
      <c r="K95" s="23">
        <f t="shared" si="8"/>
      </c>
      <c r="L95" s="24">
        <f t="shared" si="9"/>
      </c>
      <c r="N95" s="841"/>
    </row>
    <row r="96" spans="2:14" ht="12.75" customHeight="1" hidden="1">
      <c r="B96" s="25" t="str">
        <f>IF(Plan!B34="","-",Plan!B34)</f>
        <v>-</v>
      </c>
      <c r="C96" s="38" t="s">
        <v>21</v>
      </c>
      <c r="D96" s="31">
        <f>IF('[2]E-Plan'!$E34="","",'[2]E-Plan'!$E34)</f>
      </c>
      <c r="E96" s="27"/>
      <c r="F96" s="32" t="str">
        <f>IF(OR(Plan!C34="",Plan!D34=""),"-",Plan!C34*-Plan!D34)</f>
        <v>-</v>
      </c>
      <c r="H96" s="33">
        <f>IF(Plan!$E34="","",Plan!$E34)</f>
      </c>
      <c r="I96" s="29">
        <f t="shared" si="10"/>
      </c>
      <c r="J96" s="30" t="str">
        <f t="shared" si="7"/>
        <v>-</v>
      </c>
      <c r="K96" s="23">
        <f t="shared" si="8"/>
      </c>
      <c r="L96" s="24">
        <f t="shared" si="9"/>
      </c>
      <c r="N96" s="841"/>
    </row>
    <row r="97" spans="2:14" ht="12.75" customHeight="1">
      <c r="B97" s="25" t="str">
        <f>IF(Plan!B35="","-",Plan!B35)</f>
        <v>Gesamt DB</v>
      </c>
      <c r="C97" s="38" t="s">
        <v>21</v>
      </c>
      <c r="D97" s="31">
        <f>IF('[2]E-Plan'!$E35="","",'[2]E-Plan'!$E35)</f>
        <v>-863.1873599999994</v>
      </c>
      <c r="E97" s="27"/>
      <c r="F97" s="32">
        <f>IF(AND(H83="",H84="",H85="",H86="",H87="",H88="",H89="",H90="",H91="",H92="",H93="",H94="",H95="",H96=""),"-",SUM(H83:H96))</f>
        <v>-6304.70736</v>
      </c>
      <c r="H97" s="33">
        <f>IF(Plan!$E35="","",Plan!$E35)</f>
      </c>
      <c r="I97" s="29" t="str">
        <f t="shared" si="10"/>
        <v>Fehlt</v>
      </c>
      <c r="J97" s="30">
        <f t="shared" si="7"/>
        <v>0</v>
      </c>
      <c r="K97" s="23" t="str">
        <f t="shared" si="8"/>
        <v>│</v>
      </c>
      <c r="L97" s="24">
        <f t="shared" si="9"/>
        <v>1</v>
      </c>
      <c r="N97" s="841" t="str">
        <f>IF($L$1="","",$L$1)</f>
        <v>x</v>
      </c>
    </row>
    <row r="98" spans="1:14" ht="12.75" customHeight="1">
      <c r="A98" s="18"/>
      <c r="C98" s="38"/>
      <c r="D98" s="34"/>
      <c r="E98" s="27"/>
      <c r="F98" s="27"/>
      <c r="H98" s="35"/>
      <c r="I98" s="29"/>
      <c r="J98" s="29"/>
      <c r="K98" s="23">
        <f t="shared" si="8"/>
      </c>
      <c r="L98" s="24">
        <f t="shared" si="9"/>
      </c>
      <c r="N98" s="842" t="str">
        <f>IF($L$1="","",$L$1)</f>
        <v>x</v>
      </c>
    </row>
    <row r="99" spans="1:14" ht="12.75" customHeight="1">
      <c r="A99" s="17" t="s">
        <v>14</v>
      </c>
      <c r="B99" s="37" t="str">
        <f>Plan!F18</f>
        <v>Ertrag (+) bzw Bedarf (-) an KStE oder MJ NEL</v>
      </c>
      <c r="C99" s="38"/>
      <c r="D99" s="19"/>
      <c r="H99" s="20"/>
      <c r="I99" s="21"/>
      <c r="J99" s="21"/>
      <c r="K99" s="23">
        <f t="shared" si="8"/>
      </c>
      <c r="L99" s="24">
        <f t="shared" si="9"/>
      </c>
      <c r="N99" s="839" t="str">
        <f>IF($L$1="","",$L$1)</f>
        <v>x</v>
      </c>
    </row>
    <row r="100" spans="2:14" ht="12.75" hidden="1">
      <c r="B100" s="25" t="str">
        <f>IF(Plan!B21="","-",Plan!B21)</f>
        <v>DB Lämmer</v>
      </c>
      <c r="C100" s="38" t="s">
        <v>21</v>
      </c>
      <c r="D100" s="31">
        <f>IF('[2]E-Plan'!$G21="","",'[2]E-Plan'!$G21)</f>
        <v>-208000</v>
      </c>
      <c r="E100" s="27"/>
      <c r="F100" s="32">
        <f>IF(OR(Plan!$C21="",Plan!F21=""),"-",Plan!$C21*-Plan!F21)</f>
        <v>-208000</v>
      </c>
      <c r="H100" s="33">
        <f>IF(Plan!$G21="","",Plan!$G21)</f>
        <v>-208000</v>
      </c>
      <c r="I100" s="29" t="str">
        <f aca="true" t="shared" si="11" ref="I100:I114">IF(B100="-","",IF(D100=H100,"Richtig!",IF(AND(D100&lt;&gt;H100,F100=H100),"Formel: OK",IF(H100="","Fehlt","Falsch"))))</f>
        <v>Richtig!</v>
      </c>
      <c r="J100" s="30" t="str">
        <f t="shared" si="7"/>
        <v>-</v>
      </c>
      <c r="K100" s="23">
        <f t="shared" si="8"/>
      </c>
      <c r="L100" s="24">
        <f t="shared" si="9"/>
      </c>
      <c r="N100" s="841"/>
    </row>
    <row r="101" spans="2:14" ht="12.75" hidden="1">
      <c r="B101" s="25" t="str">
        <f>IF(Plan!B22="","-",Plan!B22)</f>
        <v>DB Kartoffel</v>
      </c>
      <c r="C101" s="38" t="s">
        <v>21</v>
      </c>
      <c r="D101" s="31">
        <f>IF('[2]E-Plan'!$G22="","",'[2]E-Plan'!$G22)</f>
        <v>0</v>
      </c>
      <c r="E101" s="27"/>
      <c r="F101" s="32">
        <f>IF(OR(Plan!$C22="",Plan!F22=""),"-",Plan!$C22*-Plan!F22)</f>
        <v>0</v>
      </c>
      <c r="H101" s="33">
        <f>IF(Plan!$G22="","",Plan!$G22)</f>
        <v>0</v>
      </c>
      <c r="I101" s="29" t="str">
        <f t="shared" si="11"/>
        <v>Richtig!</v>
      </c>
      <c r="J101" s="30" t="str">
        <f t="shared" si="7"/>
        <v>-</v>
      </c>
      <c r="K101" s="23">
        <f t="shared" si="8"/>
      </c>
      <c r="L101" s="24">
        <f t="shared" si="9"/>
      </c>
      <c r="N101" s="841"/>
    </row>
    <row r="102" spans="2:14" ht="12.75" hidden="1">
      <c r="B102" s="25" t="str">
        <f>IF(Plan!B23="","-",Plan!B23)</f>
        <v>-</v>
      </c>
      <c r="C102" s="38" t="s">
        <v>21</v>
      </c>
      <c r="D102" s="31">
        <f>IF('[2]E-Plan'!$G23="","",'[2]E-Plan'!$G23)</f>
      </c>
      <c r="E102" s="27"/>
      <c r="F102" s="32" t="str">
        <f>IF(OR(Plan!$C23="",Plan!F23=""),"-",Plan!$C23*-Plan!F23)</f>
        <v>-</v>
      </c>
      <c r="H102" s="33">
        <f>IF(Plan!$G23="","",Plan!$G23)</f>
      </c>
      <c r="I102" s="29">
        <f t="shared" si="11"/>
      </c>
      <c r="J102" s="30" t="str">
        <f t="shared" si="7"/>
        <v>-</v>
      </c>
      <c r="K102" s="23">
        <f t="shared" si="8"/>
      </c>
      <c r="L102" s="24">
        <f t="shared" si="9"/>
      </c>
      <c r="N102" s="841"/>
    </row>
    <row r="103" spans="2:14" ht="12.75" hidden="1">
      <c r="B103" s="25" t="str">
        <f>IF(Plan!B24="","-",Plan!B24)</f>
        <v>-</v>
      </c>
      <c r="C103" s="38" t="s">
        <v>21</v>
      </c>
      <c r="D103" s="31">
        <f>IF('[2]E-Plan'!$G24="","",'[2]E-Plan'!$G24)</f>
      </c>
      <c r="E103" s="27"/>
      <c r="F103" s="32" t="str">
        <f>IF(OR(Plan!$C24="",Plan!F24=""),"-",Plan!$C24*-Plan!F24)</f>
        <v>-</v>
      </c>
      <c r="H103" s="33">
        <f>IF(Plan!$G24="","",Plan!$G24)</f>
      </c>
      <c r="I103" s="29">
        <f t="shared" si="11"/>
      </c>
      <c r="J103" s="30" t="str">
        <f t="shared" si="7"/>
        <v>-</v>
      </c>
      <c r="K103" s="23">
        <f t="shared" si="8"/>
      </c>
      <c r="L103" s="24">
        <f t="shared" si="9"/>
      </c>
      <c r="N103" s="841"/>
    </row>
    <row r="104" spans="2:14" ht="12.75" hidden="1">
      <c r="B104" s="25" t="str">
        <f>IF(Plan!B25="","-",Plan!B25)</f>
        <v>-</v>
      </c>
      <c r="C104" s="38" t="s">
        <v>21</v>
      </c>
      <c r="D104" s="31">
        <f>IF('[2]E-Plan'!$G25="","",'[2]E-Plan'!$G25)</f>
      </c>
      <c r="E104" s="27"/>
      <c r="F104" s="32" t="str">
        <f>IF(OR(Plan!$C25="",Plan!F25=""),"-",Plan!$C25*-Plan!F25)</f>
        <v>-</v>
      </c>
      <c r="H104" s="33">
        <f>IF(Plan!$G25="","",Plan!$G25)</f>
      </c>
      <c r="I104" s="29">
        <f t="shared" si="11"/>
      </c>
      <c r="J104" s="30" t="str">
        <f t="shared" si="7"/>
        <v>-</v>
      </c>
      <c r="K104" s="23">
        <f t="shared" si="8"/>
      </c>
      <c r="L104" s="24">
        <f t="shared" si="9"/>
      </c>
      <c r="N104" s="841"/>
    </row>
    <row r="105" spans="2:14" ht="12.75" hidden="1">
      <c r="B105" s="25" t="str">
        <f>IF(Plan!B26="","-",Plan!B26)</f>
        <v>-</v>
      </c>
      <c r="C105" s="38" t="s">
        <v>21</v>
      </c>
      <c r="D105" s="31">
        <f>IF('[2]E-Plan'!$G26="","",'[2]E-Plan'!$G26)</f>
      </c>
      <c r="E105" s="27"/>
      <c r="F105" s="32" t="str">
        <f>IF(OR(Plan!$C26="",Plan!F26=""),"-",Plan!$C26*-Plan!F26)</f>
        <v>-</v>
      </c>
      <c r="H105" s="33">
        <f>IF(Plan!$G26="","",Plan!$G26)</f>
      </c>
      <c r="I105" s="29">
        <f t="shared" si="11"/>
      </c>
      <c r="J105" s="30" t="str">
        <f t="shared" si="7"/>
        <v>-</v>
      </c>
      <c r="K105" s="23">
        <f t="shared" si="8"/>
      </c>
      <c r="L105" s="24">
        <f t="shared" si="9"/>
      </c>
      <c r="N105" s="841"/>
    </row>
    <row r="106" spans="2:14" ht="12.75" hidden="1">
      <c r="B106" s="25" t="str">
        <f>IF(Plan!B27="","-",Plan!B27)</f>
        <v>-</v>
      </c>
      <c r="C106" s="38" t="s">
        <v>21</v>
      </c>
      <c r="D106" s="31">
        <f>IF('[2]E-Plan'!$G27="","",'[2]E-Plan'!$G27)</f>
      </c>
      <c r="E106" s="27"/>
      <c r="F106" s="32" t="str">
        <f>IF(OR(Plan!$C27="",Plan!F27=""),"-",Plan!$C27*-Plan!F27)</f>
        <v>-</v>
      </c>
      <c r="H106" s="33">
        <f>IF(Plan!$G27="","",Plan!$G27)</f>
      </c>
      <c r="I106" s="29">
        <f t="shared" si="11"/>
      </c>
      <c r="J106" s="30" t="str">
        <f t="shared" si="7"/>
        <v>-</v>
      </c>
      <c r="K106" s="23">
        <f t="shared" si="8"/>
      </c>
      <c r="L106" s="24">
        <f t="shared" si="9"/>
      </c>
      <c r="N106" s="841"/>
    </row>
    <row r="107" spans="2:14" ht="12.75" hidden="1">
      <c r="B107" s="25" t="str">
        <f>IF(Plan!B28="","-",Plan!B28)</f>
        <v>VK Feldfutter  - Silage</v>
      </c>
      <c r="C107" s="38" t="s">
        <v>21</v>
      </c>
      <c r="D107" s="31">
        <f>IF('[2]E-Plan'!$G28="","",'[2]E-Plan'!$G28)</f>
        <v>307200</v>
      </c>
      <c r="E107" s="27"/>
      <c r="F107" s="32">
        <f>IF(OR(Plan!$C28="",Plan!F28=""),"-",Plan!$C28*Plan!F28)</f>
        <v>307200</v>
      </c>
      <c r="H107" s="33">
        <f>IF(Plan!$G28="","",Plan!$G28)</f>
        <v>307200</v>
      </c>
      <c r="I107" s="29" t="str">
        <f t="shared" si="11"/>
        <v>Richtig!</v>
      </c>
      <c r="J107" s="30" t="str">
        <f t="shared" si="7"/>
        <v>-</v>
      </c>
      <c r="K107" s="23">
        <f t="shared" si="8"/>
      </c>
      <c r="L107" s="24">
        <f t="shared" si="9"/>
      </c>
      <c r="N107" s="841"/>
    </row>
    <row r="108" spans="2:14" ht="12.75">
      <c r="B108" s="25" t="str">
        <f>IF(Plan!B29="","-",Plan!B29)</f>
        <v>VK Dauergrünland 3-schnittig</v>
      </c>
      <c r="C108" s="38" t="s">
        <v>21</v>
      </c>
      <c r="D108" s="31">
        <f>IF('[2]E-Plan'!$G29="","",'[2]E-Plan'!$G29)</f>
        <v>281760</v>
      </c>
      <c r="E108" s="27"/>
      <c r="F108" s="32">
        <f>IF(OR(Plan!$C29="",Plan!F29=""),"-",Plan!$C29*Plan!F29)</f>
        <v>281760</v>
      </c>
      <c r="H108" s="33">
        <f>IF(Plan!$G29="","",Plan!$G29)</f>
      </c>
      <c r="I108" s="29" t="str">
        <f t="shared" si="11"/>
        <v>Fehlt</v>
      </c>
      <c r="J108" s="30">
        <f t="shared" si="7"/>
        <v>0</v>
      </c>
      <c r="K108" s="23" t="str">
        <f t="shared" si="8"/>
        <v>│</v>
      </c>
      <c r="L108" s="24">
        <f t="shared" si="9"/>
        <v>1</v>
      </c>
      <c r="N108" s="841" t="s">
        <v>11</v>
      </c>
    </row>
    <row r="109" spans="2:14" ht="12.75">
      <c r="B109" s="25" t="str">
        <f>IF(Plan!B30="","-",Plan!B30)</f>
        <v>VK Dauergrünland 1-schnittig</v>
      </c>
      <c r="C109" s="38" t="s">
        <v>21</v>
      </c>
      <c r="D109" s="31">
        <f>IF('[2]E-Plan'!$G30="","",'[2]E-Plan'!$G30)</f>
        <v>55440</v>
      </c>
      <c r="E109" s="27"/>
      <c r="F109" s="32">
        <f>IF(OR(Plan!$C30="",Plan!F30=""),"-",Plan!$C30*Plan!F30)</f>
        <v>55440</v>
      </c>
      <c r="H109" s="33">
        <f>IF(Plan!$G30="","",Plan!$G30)</f>
      </c>
      <c r="I109" s="29" t="str">
        <f t="shared" si="11"/>
        <v>Fehlt</v>
      </c>
      <c r="J109" s="30">
        <f t="shared" si="7"/>
        <v>0</v>
      </c>
      <c r="K109" s="23" t="str">
        <f t="shared" si="8"/>
        <v>│</v>
      </c>
      <c r="L109" s="24">
        <f t="shared" si="9"/>
        <v>1</v>
      </c>
      <c r="N109" s="841" t="s">
        <v>11</v>
      </c>
    </row>
    <row r="110" spans="2:14" ht="12.75" hidden="1">
      <c r="B110" s="25" t="str">
        <f>IF(Plan!B31="","-",Plan!B31)</f>
        <v>-</v>
      </c>
      <c r="C110" s="38" t="s">
        <v>21</v>
      </c>
      <c r="D110" s="31">
        <f>IF('[2]E-Plan'!$G31="","",'[2]E-Plan'!$G31)</f>
      </c>
      <c r="E110" s="27"/>
      <c r="F110" s="32" t="str">
        <f>IF(OR(Plan!$C31="",Plan!F31=""),"-",Plan!$C31*Plan!F31)</f>
        <v>-</v>
      </c>
      <c r="H110" s="33">
        <f>IF(Plan!$G31="","",Plan!$G31)</f>
      </c>
      <c r="I110" s="29">
        <f t="shared" si="11"/>
      </c>
      <c r="J110" s="30" t="str">
        <f t="shared" si="7"/>
        <v>-</v>
      </c>
      <c r="K110" s="23">
        <f t="shared" si="8"/>
      </c>
      <c r="L110" s="24">
        <f t="shared" si="9"/>
      </c>
      <c r="N110" s="841"/>
    </row>
    <row r="111" spans="2:14" ht="12.75" hidden="1">
      <c r="B111" s="25" t="str">
        <f>IF(Plan!B32="","-",Plan!B32)</f>
        <v>-</v>
      </c>
      <c r="C111" s="38" t="s">
        <v>21</v>
      </c>
      <c r="D111" s="31">
        <f>IF('[2]E-Plan'!$G32="","",'[2]E-Plan'!$G32)</f>
      </c>
      <c r="E111" s="27"/>
      <c r="F111" s="32" t="str">
        <f>IF(OR(Plan!$C32="",Plan!F32=""),"-",Plan!$C32*Plan!F32)</f>
        <v>-</v>
      </c>
      <c r="H111" s="33">
        <f>IF(Plan!$G32="","",Plan!$G32)</f>
      </c>
      <c r="I111" s="29">
        <f t="shared" si="11"/>
      </c>
      <c r="J111" s="30" t="str">
        <f t="shared" si="7"/>
        <v>-</v>
      </c>
      <c r="K111" s="23">
        <f t="shared" si="8"/>
      </c>
      <c r="L111" s="24">
        <f t="shared" si="9"/>
      </c>
      <c r="N111" s="841"/>
    </row>
    <row r="112" spans="2:14" ht="12.75" hidden="1">
      <c r="B112" s="25" t="str">
        <f>IF(Plan!B33="","-",Plan!B33)</f>
        <v>-</v>
      </c>
      <c r="C112" s="38" t="s">
        <v>21</v>
      </c>
      <c r="D112" s="31">
        <f>IF('[2]E-Plan'!$G33="","",'[2]E-Plan'!$G33)</f>
      </c>
      <c r="E112" s="27"/>
      <c r="F112" s="32" t="str">
        <f>IF(OR(Plan!$C33="",Plan!F33=""),"-",Plan!$C33*Plan!F33)</f>
        <v>-</v>
      </c>
      <c r="H112" s="33">
        <f>IF(Plan!$G33="","",Plan!$G33)</f>
      </c>
      <c r="I112" s="29">
        <f t="shared" si="11"/>
      </c>
      <c r="J112" s="30" t="str">
        <f t="shared" si="7"/>
        <v>-</v>
      </c>
      <c r="K112" s="23">
        <f t="shared" si="8"/>
      </c>
      <c r="L112" s="24">
        <f t="shared" si="9"/>
      </c>
      <c r="N112" s="841"/>
    </row>
    <row r="113" spans="2:14" ht="12.75" hidden="1">
      <c r="B113" s="25" t="str">
        <f>IF(Plan!B34="","-",Plan!B34)</f>
        <v>-</v>
      </c>
      <c r="C113" s="38" t="s">
        <v>21</v>
      </c>
      <c r="D113" s="31">
        <f>IF('[2]E-Plan'!$G34="","",'[2]E-Plan'!$G34)</f>
      </c>
      <c r="E113" s="27"/>
      <c r="F113" s="32" t="str">
        <f>IF(OR(Plan!$C34="",Plan!F34=""),"-",Plan!$C34*Plan!F34)</f>
        <v>-</v>
      </c>
      <c r="H113" s="33">
        <f>IF(Plan!$G34="","",Plan!$G34)</f>
      </c>
      <c r="I113" s="29">
        <f t="shared" si="11"/>
      </c>
      <c r="J113" s="30" t="str">
        <f t="shared" si="7"/>
        <v>-</v>
      </c>
      <c r="K113" s="23">
        <f t="shared" si="8"/>
      </c>
      <c r="L113" s="24">
        <f t="shared" si="9"/>
      </c>
      <c r="N113" s="841"/>
    </row>
    <row r="114" spans="2:14" ht="12.75" customHeight="1">
      <c r="B114" s="25" t="str">
        <f>IF(Plan!F38="","-",Plan!F38)</f>
        <v> +/- Ges.
Energie</v>
      </c>
      <c r="C114" s="38" t="s">
        <v>21</v>
      </c>
      <c r="D114" s="31">
        <f>IF('[2]E-Plan'!$G38="","",'[2]E-Plan'!$G38)</f>
        <v>436400</v>
      </c>
      <c r="E114" s="27"/>
      <c r="F114" s="32">
        <f>IF(AND(H100="",H101="",H102="",H103="",H104="",H105="",H106="",H107="",H108="",H109="",H110="",H111="",H112="",H113=""),"-",SUM(H100:H113))</f>
        <v>99200</v>
      </c>
      <c r="H114" s="33">
        <f>IF(Plan!$G38="","",Plan!$G38)</f>
      </c>
      <c r="I114" s="29" t="str">
        <f t="shared" si="11"/>
        <v>Fehlt</v>
      </c>
      <c r="J114" s="30">
        <f t="shared" si="7"/>
        <v>0</v>
      </c>
      <c r="K114" s="23" t="str">
        <f t="shared" si="8"/>
        <v>│</v>
      </c>
      <c r="L114" s="24">
        <f t="shared" si="9"/>
        <v>1</v>
      </c>
      <c r="N114" s="841" t="str">
        <f>IF($L$1="","",$L$1)</f>
        <v>x</v>
      </c>
    </row>
    <row r="115" spans="1:14" ht="12.75" customHeight="1">
      <c r="A115" s="18"/>
      <c r="C115" s="38"/>
      <c r="D115" s="34"/>
      <c r="E115" s="27"/>
      <c r="F115" s="27"/>
      <c r="H115" s="35"/>
      <c r="I115" s="29"/>
      <c r="J115" s="29"/>
      <c r="K115" s="23">
        <f t="shared" si="8"/>
      </c>
      <c r="L115" s="24">
        <f t="shared" si="9"/>
      </c>
      <c r="N115" s="842" t="str">
        <f>IF($L$1="","",$L$1)</f>
        <v>x</v>
      </c>
    </row>
    <row r="116" spans="1:14" ht="12.75" customHeight="1">
      <c r="A116" s="17" t="s">
        <v>17</v>
      </c>
      <c r="B116" s="37" t="str">
        <f>Plan!H18</f>
        <v>Jahresarbeitszeit 
in Akh</v>
      </c>
      <c r="C116" s="38"/>
      <c r="D116" s="19"/>
      <c r="H116" s="20"/>
      <c r="I116" s="21"/>
      <c r="J116" s="21"/>
      <c r="K116" s="23">
        <f t="shared" si="8"/>
      </c>
      <c r="L116" s="24">
        <f t="shared" si="9"/>
      </c>
      <c r="N116" s="839" t="str">
        <f>IF($L$1="","",$L$1)</f>
        <v>x</v>
      </c>
    </row>
    <row r="117" spans="2:14" ht="12.75">
      <c r="B117" s="25" t="str">
        <f>IF(Plan!B21="","-",Plan!B21)</f>
        <v>DB Lämmer</v>
      </c>
      <c r="C117" s="38" t="s">
        <v>21</v>
      </c>
      <c r="D117" s="31">
        <f>IF('[2]E-Plan'!$I21="","",'[2]E-Plan'!$I21)</f>
        <v>468</v>
      </c>
      <c r="E117" s="27"/>
      <c r="F117" s="32">
        <f>IF(OR(Plan!$C21="",Plan!H21=""),"-",Plan!$C21*Plan!H21)</f>
        <v>468</v>
      </c>
      <c r="H117" s="33">
        <f>IF(Plan!$I21="","",Plan!$I21)</f>
      </c>
      <c r="I117" s="29" t="str">
        <f aca="true" t="shared" si="12" ref="I117:I131">IF(B117="-","",IF(D117=H117,"Richtig!",IF(AND(D117&lt;&gt;H117,F117=H117),"Formel: OK",IF(H117="","Fehlt","Falsch"))))</f>
        <v>Fehlt</v>
      </c>
      <c r="J117" s="30">
        <f t="shared" si="7"/>
        <v>0</v>
      </c>
      <c r="K117" s="23" t="str">
        <f t="shared" si="8"/>
        <v>│</v>
      </c>
      <c r="L117" s="24">
        <f t="shared" si="9"/>
        <v>1</v>
      </c>
      <c r="N117" s="841" t="str">
        <f>IF($L$1="","",$L$1)</f>
        <v>x</v>
      </c>
    </row>
    <row r="118" spans="2:14" ht="12.75" hidden="1">
      <c r="B118" s="25" t="str">
        <f>IF(Plan!B22="","-",Plan!B22)</f>
        <v>DB Kartoffel</v>
      </c>
      <c r="C118" s="38" t="s">
        <v>21</v>
      </c>
      <c r="D118" s="31">
        <f>IF('[2]E-Plan'!$I22="","",'[2]E-Plan'!$I22)</f>
        <v>114.75</v>
      </c>
      <c r="E118" s="27"/>
      <c r="F118" s="32">
        <f>IF(OR(Plan!$C22="",Plan!H22=""),"-",Plan!$C22*Plan!H22)</f>
        <v>114.75</v>
      </c>
      <c r="H118" s="33">
        <f>IF(Plan!$I22="","",Plan!$I22)</f>
        <v>114.75</v>
      </c>
      <c r="I118" s="29" t="str">
        <f t="shared" si="12"/>
        <v>Richtig!</v>
      </c>
      <c r="J118" s="30" t="str">
        <f t="shared" si="7"/>
        <v>-</v>
      </c>
      <c r="K118" s="23">
        <f t="shared" si="8"/>
      </c>
      <c r="L118" s="24">
        <f t="shared" si="9"/>
      </c>
      <c r="N118" s="841"/>
    </row>
    <row r="119" spans="2:14" ht="12.75" hidden="1">
      <c r="B119" s="25" t="str">
        <f>IF(Plan!B23="","-",Plan!B23)</f>
        <v>-</v>
      </c>
      <c r="C119" s="38" t="s">
        <v>21</v>
      </c>
      <c r="D119" s="31">
        <f>IF('[2]E-Plan'!$I23="","",'[2]E-Plan'!$I23)</f>
      </c>
      <c r="E119" s="27"/>
      <c r="F119" s="32" t="str">
        <f>IF(OR(Plan!$C23="",Plan!H23=""),"-",Plan!$C23*Plan!H23)</f>
        <v>-</v>
      </c>
      <c r="H119" s="33">
        <f>IF(Plan!$I23="","",Plan!$I23)</f>
      </c>
      <c r="I119" s="29">
        <f t="shared" si="12"/>
      </c>
      <c r="J119" s="30" t="str">
        <f t="shared" si="7"/>
        <v>-</v>
      </c>
      <c r="K119" s="23">
        <f t="shared" si="8"/>
      </c>
      <c r="L119" s="24">
        <f t="shared" si="9"/>
      </c>
      <c r="N119" s="841"/>
    </row>
    <row r="120" spans="2:14" ht="12.75" hidden="1">
      <c r="B120" s="25" t="str">
        <f>IF(Plan!B24="","-",Plan!B24)</f>
        <v>-</v>
      </c>
      <c r="C120" s="38" t="s">
        <v>21</v>
      </c>
      <c r="D120" s="31">
        <f>IF('[2]E-Plan'!$I24="","",'[2]E-Plan'!$I24)</f>
      </c>
      <c r="E120" s="27"/>
      <c r="F120" s="32" t="str">
        <f>IF(OR(Plan!$C24="",Plan!H24=""),"-",Plan!$C24*Plan!H24)</f>
        <v>-</v>
      </c>
      <c r="H120" s="33">
        <f>IF(Plan!$I24="","",Plan!$I24)</f>
      </c>
      <c r="I120" s="29">
        <f t="shared" si="12"/>
      </c>
      <c r="J120" s="30" t="str">
        <f t="shared" si="7"/>
        <v>-</v>
      </c>
      <c r="K120" s="23">
        <f t="shared" si="8"/>
      </c>
      <c r="L120" s="24">
        <f t="shared" si="9"/>
      </c>
      <c r="N120" s="841"/>
    </row>
    <row r="121" spans="2:14" ht="12.75" hidden="1">
      <c r="B121" s="25" t="str">
        <f>IF(Plan!B25="","-",Plan!B25)</f>
        <v>-</v>
      </c>
      <c r="C121" s="38" t="s">
        <v>21</v>
      </c>
      <c r="D121" s="31">
        <f>IF('[2]E-Plan'!$I25="","",'[2]E-Plan'!$I25)</f>
      </c>
      <c r="E121" s="27"/>
      <c r="F121" s="32" t="str">
        <f>IF(OR(Plan!$C25="",Plan!H25=""),"-",Plan!$C25*Plan!H25)</f>
        <v>-</v>
      </c>
      <c r="H121" s="33">
        <f>IF(Plan!$I25="","",Plan!$I25)</f>
      </c>
      <c r="I121" s="29">
        <f t="shared" si="12"/>
      </c>
      <c r="J121" s="30" t="str">
        <f t="shared" si="7"/>
        <v>-</v>
      </c>
      <c r="K121" s="23">
        <f t="shared" si="8"/>
      </c>
      <c r="L121" s="24">
        <f t="shared" si="9"/>
      </c>
      <c r="N121" s="841"/>
    </row>
    <row r="122" spans="2:14" ht="12.75" hidden="1">
      <c r="B122" s="25" t="str">
        <f>IF(Plan!B26="","-",Plan!B26)</f>
        <v>-</v>
      </c>
      <c r="C122" s="38" t="s">
        <v>21</v>
      </c>
      <c r="D122" s="31">
        <f>IF('[2]E-Plan'!$I26="","",'[2]E-Plan'!$I26)</f>
      </c>
      <c r="E122" s="27"/>
      <c r="F122" s="32" t="str">
        <f>IF(OR(Plan!$C26="",Plan!H26=""),"-",Plan!$C26*Plan!H26)</f>
        <v>-</v>
      </c>
      <c r="H122" s="33">
        <f>IF(Plan!$I26="","",Plan!$I26)</f>
      </c>
      <c r="I122" s="29">
        <f t="shared" si="12"/>
      </c>
      <c r="J122" s="30" t="str">
        <f t="shared" si="7"/>
        <v>-</v>
      </c>
      <c r="K122" s="23">
        <f t="shared" si="8"/>
      </c>
      <c r="L122" s="24">
        <f t="shared" si="9"/>
      </c>
      <c r="N122" s="841"/>
    </row>
    <row r="123" spans="2:14" ht="12.75" hidden="1">
      <c r="B123" s="25" t="str">
        <f>IF(Plan!B27="","-",Plan!B27)</f>
        <v>-</v>
      </c>
      <c r="C123" s="38" t="s">
        <v>21</v>
      </c>
      <c r="D123" s="31">
        <f>IF('[2]E-Plan'!$I27="","",'[2]E-Plan'!$I27)</f>
      </c>
      <c r="E123" s="27"/>
      <c r="F123" s="32" t="str">
        <f>IF(OR(Plan!$C27="",Plan!H27=""),"-",Plan!$C27*Plan!H27)</f>
        <v>-</v>
      </c>
      <c r="H123" s="33">
        <f>IF(Plan!$I27="","",Plan!$I27)</f>
      </c>
      <c r="I123" s="29">
        <f t="shared" si="12"/>
      </c>
      <c r="J123" s="30" t="str">
        <f t="shared" si="7"/>
        <v>-</v>
      </c>
      <c r="K123" s="23">
        <f t="shared" si="8"/>
      </c>
      <c r="L123" s="24">
        <f t="shared" si="9"/>
      </c>
      <c r="N123" s="841"/>
    </row>
    <row r="124" spans="2:14" ht="12.75" hidden="1">
      <c r="B124" s="25" t="str">
        <f>IF(Plan!B28="","-",Plan!B28)</f>
        <v>VK Feldfutter  - Silage</v>
      </c>
      <c r="C124" s="38" t="s">
        <v>21</v>
      </c>
      <c r="D124" s="31">
        <f>IF('[2]E-Plan'!$I28="","",'[2]E-Plan'!$I28)</f>
        <v>122.4</v>
      </c>
      <c r="E124" s="27"/>
      <c r="F124" s="32">
        <f>IF(OR(Plan!$C28="",Plan!H28=""),"-",Plan!$C28*Plan!H28)</f>
        <v>122.4</v>
      </c>
      <c r="H124" s="33">
        <f>IF(Plan!$I28="","",Plan!$I28)</f>
        <v>122.4</v>
      </c>
      <c r="I124" s="29" t="str">
        <f t="shared" si="12"/>
        <v>Richtig!</v>
      </c>
      <c r="J124" s="30" t="str">
        <f t="shared" si="7"/>
        <v>-</v>
      </c>
      <c r="K124" s="23">
        <f t="shared" si="8"/>
      </c>
      <c r="L124" s="24">
        <f t="shared" si="9"/>
      </c>
      <c r="N124" s="841"/>
    </row>
    <row r="125" spans="2:14" ht="12.75" hidden="1">
      <c r="B125" s="25" t="str">
        <f>IF(Plan!B29="","-",Plan!B29)</f>
        <v>VK Dauergrünland 3-schnittig</v>
      </c>
      <c r="C125" s="38" t="s">
        <v>21</v>
      </c>
      <c r="D125" s="31">
        <f>IF('[2]E-Plan'!$I29="","",'[2]E-Plan'!$I29)</f>
        <v>232.20000000000002</v>
      </c>
      <c r="E125" s="27"/>
      <c r="F125" s="32">
        <f>IF(OR(Plan!$C29="",Plan!H29=""),"-",Plan!$C29*Plan!H29)</f>
        <v>232.20000000000002</v>
      </c>
      <c r="H125" s="33">
        <f>IF(Plan!$I29="","",Plan!$I29)</f>
        <v>232.20000000000002</v>
      </c>
      <c r="I125" s="29" t="str">
        <f t="shared" si="12"/>
        <v>Richtig!</v>
      </c>
      <c r="J125" s="30" t="str">
        <f t="shared" si="7"/>
        <v>-</v>
      </c>
      <c r="K125" s="23">
        <f t="shared" si="8"/>
      </c>
      <c r="L125" s="24">
        <f t="shared" si="9"/>
      </c>
      <c r="N125" s="841"/>
    </row>
    <row r="126" spans="2:14" ht="12.75" hidden="1">
      <c r="B126" s="25" t="str">
        <f>IF(Plan!B30="","-",Plan!B30)</f>
        <v>VK Dauergrünland 1-schnittig</v>
      </c>
      <c r="C126" s="38" t="s">
        <v>21</v>
      </c>
      <c r="D126" s="31">
        <f>IF('[2]E-Plan'!$I30="","",'[2]E-Plan'!$I30)</f>
        <v>109.02000000000001</v>
      </c>
      <c r="E126" s="27"/>
      <c r="F126" s="32">
        <f>IF(OR(Plan!$C30="",Plan!H30=""),"-",Plan!$C30*Plan!H30)</f>
        <v>109.02000000000001</v>
      </c>
      <c r="H126" s="33">
        <f>IF(Plan!$I30="","",Plan!$I30)</f>
        <v>109.02000000000001</v>
      </c>
      <c r="I126" s="29" t="str">
        <f t="shared" si="12"/>
        <v>Richtig!</v>
      </c>
      <c r="J126" s="30" t="str">
        <f t="shared" si="7"/>
        <v>-</v>
      </c>
      <c r="K126" s="23">
        <f t="shared" si="8"/>
      </c>
      <c r="L126" s="24">
        <f t="shared" si="9"/>
      </c>
      <c r="N126" s="841"/>
    </row>
    <row r="127" spans="2:14" ht="12.75" hidden="1">
      <c r="B127" s="25" t="str">
        <f>IF(Plan!B31="","-",Plan!B31)</f>
        <v>-</v>
      </c>
      <c r="C127" s="38" t="s">
        <v>21</v>
      </c>
      <c r="D127" s="31">
        <f>IF('[2]E-Plan'!$I31="","",'[2]E-Plan'!$I31)</f>
      </c>
      <c r="E127" s="27"/>
      <c r="F127" s="32" t="str">
        <f>IF(OR(Plan!$C31="",Plan!H31=""),"-",Plan!$C31*Plan!H31)</f>
        <v>-</v>
      </c>
      <c r="H127" s="33">
        <f>IF(Plan!$I31="","",Plan!$I31)</f>
      </c>
      <c r="I127" s="29">
        <f t="shared" si="12"/>
      </c>
      <c r="J127" s="30" t="str">
        <f t="shared" si="7"/>
        <v>-</v>
      </c>
      <c r="K127" s="23">
        <f t="shared" si="8"/>
      </c>
      <c r="L127" s="24">
        <f t="shared" si="9"/>
      </c>
      <c r="N127" s="841"/>
    </row>
    <row r="128" spans="2:14" ht="12.75" hidden="1">
      <c r="B128" s="25" t="str">
        <f>IF(Plan!B32="","-",Plan!B32)</f>
        <v>-</v>
      </c>
      <c r="C128" s="38" t="s">
        <v>21</v>
      </c>
      <c r="D128" s="31">
        <f>IF('[2]E-Plan'!$I32="","",'[2]E-Plan'!$I32)</f>
      </c>
      <c r="E128" s="27"/>
      <c r="F128" s="32" t="str">
        <f>IF(OR(Plan!$C32="",Plan!H32=""),"-",Plan!$C32*Plan!H32)</f>
        <v>-</v>
      </c>
      <c r="H128" s="33">
        <f>IF(Plan!$I32="","",Plan!$I32)</f>
      </c>
      <c r="I128" s="29">
        <f t="shared" si="12"/>
      </c>
      <c r="J128" s="30" t="str">
        <f t="shared" si="7"/>
        <v>-</v>
      </c>
      <c r="K128" s="23">
        <f t="shared" si="8"/>
      </c>
      <c r="L128" s="24">
        <f t="shared" si="9"/>
      </c>
      <c r="N128" s="841"/>
    </row>
    <row r="129" spans="2:14" ht="12.75" hidden="1">
      <c r="B129" s="25" t="str">
        <f>IF(Plan!B33="","-",Plan!B33)</f>
        <v>-</v>
      </c>
      <c r="C129" s="38" t="s">
        <v>21</v>
      </c>
      <c r="D129" s="31">
        <f>IF('[2]E-Plan'!$I33="","",'[2]E-Plan'!$I33)</f>
      </c>
      <c r="E129" s="27"/>
      <c r="F129" s="32" t="str">
        <f>IF(OR(Plan!$C33="",Plan!H33=""),"-",Plan!$C33*Plan!H33)</f>
        <v>-</v>
      </c>
      <c r="H129" s="33">
        <f>IF(Plan!$I33="","",Plan!$I33)</f>
      </c>
      <c r="I129" s="29">
        <f t="shared" si="12"/>
      </c>
      <c r="J129" s="30" t="str">
        <f t="shared" si="7"/>
        <v>-</v>
      </c>
      <c r="K129" s="23">
        <f t="shared" si="8"/>
      </c>
      <c r="L129" s="24">
        <f t="shared" si="9"/>
      </c>
      <c r="N129" s="841"/>
    </row>
    <row r="130" spans="2:14" ht="12.75" hidden="1">
      <c r="B130" s="25" t="str">
        <f>IF(Plan!B34="","-",Plan!B34)</f>
        <v>-</v>
      </c>
      <c r="C130" s="38" t="s">
        <v>21</v>
      </c>
      <c r="D130" s="31">
        <f>IF('[2]E-Plan'!$I34="","",'[2]E-Plan'!$I34)</f>
      </c>
      <c r="E130" s="27"/>
      <c r="F130" s="32" t="str">
        <f>IF(OR(Plan!$C34="",Plan!H34=""),"-",Plan!$C34*Plan!H34)</f>
        <v>-</v>
      </c>
      <c r="H130" s="33">
        <f>IF(Plan!$I34="","",Plan!$I34)</f>
      </c>
      <c r="I130" s="29">
        <f t="shared" si="12"/>
      </c>
      <c r="J130" s="30" t="str">
        <f t="shared" si="7"/>
        <v>-</v>
      </c>
      <c r="K130" s="23">
        <f t="shared" si="8"/>
      </c>
      <c r="L130" s="24">
        <f t="shared" si="9"/>
      </c>
      <c r="N130" s="841"/>
    </row>
    <row r="131" spans="2:14" ht="12.75">
      <c r="B131" s="25" t="str">
        <f>IF(Plan!H38="","-",Plan!H38)</f>
        <v>Gesamt
Akh</v>
      </c>
      <c r="C131" s="38" t="s">
        <v>21</v>
      </c>
      <c r="D131" s="31">
        <f>IF('[2]E-Plan'!$I38="","",'[2]E-Plan'!I$38)</f>
        <v>1046.3700000000001</v>
      </c>
      <c r="E131" s="27"/>
      <c r="F131" s="32">
        <f>IF(AND(H117="",H118="",H119="",H120="",H121="",H122="",H123="",H124="",H125="",H126="",H127="",H128="",H129="",H130=""),"-",SUM(H117:H130))</f>
        <v>578.37</v>
      </c>
      <c r="H131" s="33">
        <f>IF(Plan!$I38="","",Plan!I$38)</f>
      </c>
      <c r="I131" s="29" t="str">
        <f t="shared" si="12"/>
        <v>Fehlt</v>
      </c>
      <c r="J131" s="30">
        <f t="shared" si="7"/>
        <v>0</v>
      </c>
      <c r="K131" s="23" t="str">
        <f t="shared" si="8"/>
        <v>│</v>
      </c>
      <c r="L131" s="24">
        <f t="shared" si="9"/>
        <v>1</v>
      </c>
      <c r="N131" s="841" t="str">
        <f>IF($L$1="","",$L$1)</f>
        <v>x</v>
      </c>
    </row>
    <row r="132" spans="1:14" ht="12.75" customHeight="1">
      <c r="A132" s="18"/>
      <c r="C132" s="38"/>
      <c r="D132" s="34"/>
      <c r="E132" s="27"/>
      <c r="F132" s="27"/>
      <c r="H132" s="35"/>
      <c r="I132" s="29"/>
      <c r="J132" s="29"/>
      <c r="K132" s="23">
        <f t="shared" si="8"/>
      </c>
      <c r="L132" s="24">
        <f t="shared" si="9"/>
      </c>
      <c r="N132" s="842" t="str">
        <f>IF($L$1="","",$L$1)</f>
        <v>x</v>
      </c>
    </row>
    <row r="133" spans="1:14" ht="12.75" customHeight="1">
      <c r="A133" s="17" t="s">
        <v>19</v>
      </c>
      <c r="B133" s="37" t="s">
        <v>22</v>
      </c>
      <c r="C133" s="38"/>
      <c r="D133" s="19"/>
      <c r="H133" s="20"/>
      <c r="I133" s="21"/>
      <c r="J133" s="21"/>
      <c r="K133" s="23">
        <f t="shared" si="8"/>
      </c>
      <c r="L133" s="24">
        <f t="shared" si="9"/>
      </c>
      <c r="N133" s="839" t="s">
        <v>11</v>
      </c>
    </row>
    <row r="134" spans="2:14" ht="12.75">
      <c r="B134" s="25" t="str">
        <f>IF(Plan!B41="","-",Plan!B41)</f>
        <v>Summe Sonstige Erträge</v>
      </c>
      <c r="C134" s="38" t="s">
        <v>21</v>
      </c>
      <c r="D134" s="26">
        <f>IF('[2]E-Plan'!$E41="","",'[2]E-Plan'!$E41)</f>
        <v>1105</v>
      </c>
      <c r="E134" s="27"/>
      <c r="H134" s="28">
        <f>IF(Plan!$E41="","",Plan!$E41)</f>
      </c>
      <c r="I134" s="29" t="str">
        <f>IF(AND(D134="",H134=""),"",IF(D134=H134,"Richtig!",IF(H134="","Fehlt","Falsch")))</f>
        <v>Fehlt</v>
      </c>
      <c r="J134" s="30">
        <f t="shared" si="7"/>
        <v>0</v>
      </c>
      <c r="K134" s="23" t="str">
        <f t="shared" si="8"/>
        <v>│</v>
      </c>
      <c r="L134" s="24">
        <f t="shared" si="9"/>
        <v>1</v>
      </c>
      <c r="N134" s="841" t="s">
        <v>11</v>
      </c>
    </row>
    <row r="135" spans="2:14" ht="12.75">
      <c r="B135" s="25" t="str">
        <f>IF(Plan!B50="","-",Plan!B50)</f>
        <v>SUMME FÖRDERUNGEN</v>
      </c>
      <c r="C135" s="38" t="s">
        <v>21</v>
      </c>
      <c r="D135" s="26">
        <f>IF('[2]E-Plan'!$E50="","",'[2]E-Plan'!$E50)</f>
        <v>7612</v>
      </c>
      <c r="E135" s="27"/>
      <c r="H135" s="28">
        <f>IF(Plan!$E50="","",Plan!$E50)</f>
      </c>
      <c r="I135" s="29" t="str">
        <f>IF(AND(D135="",H135=""),"",IF(D135=H135,"Richtig!",IF(H135="","Fehlt","Falsch")))</f>
        <v>Fehlt</v>
      </c>
      <c r="J135" s="30">
        <f t="shared" si="7"/>
        <v>0</v>
      </c>
      <c r="K135" s="23" t="str">
        <f t="shared" si="8"/>
        <v>│</v>
      </c>
      <c r="L135" s="24">
        <f t="shared" si="9"/>
        <v>1</v>
      </c>
      <c r="N135" s="841" t="s">
        <v>11</v>
      </c>
    </row>
    <row r="136" spans="2:14" ht="12.75" hidden="1">
      <c r="B136" s="25" t="str">
        <f>IF(Plan!B52="","-",Plan!B52)</f>
        <v>GDB einschl. Förd. und sonst. Erträge</v>
      </c>
      <c r="C136" s="38" t="s">
        <v>21</v>
      </c>
      <c r="D136" s="31">
        <f>IF('[2]E-Plan'!$E52="","",'[2]E-Plan'!$E52)</f>
        <v>7853.81264</v>
      </c>
      <c r="E136" s="27"/>
      <c r="F136" s="32" t="str">
        <f>IF(AND(H97="",H134="",H135=""),"-",SUM(H97,H134,H135))</f>
        <v>-</v>
      </c>
      <c r="H136" s="33">
        <f>IF(Plan!$E52="","",Plan!$E52)</f>
        <v>0</v>
      </c>
      <c r="I136" s="29" t="str">
        <f>IF(B136="-","",IF(D136=H136,"Richtig!",IF(AND(D136&lt;&gt;H136,F136=H136),"Formel: OK",IF(H136="","Fehlt","Falsch"))))</f>
        <v>Falsch</v>
      </c>
      <c r="J136" s="30" t="str">
        <f t="shared" si="7"/>
        <v>-</v>
      </c>
      <c r="K136" s="23">
        <f t="shared" si="8"/>
      </c>
      <c r="L136" s="24">
        <f t="shared" si="9"/>
      </c>
      <c r="N136" s="841"/>
    </row>
    <row r="137" spans="1:14" ht="12.75" customHeight="1">
      <c r="A137" s="18"/>
      <c r="C137" s="38"/>
      <c r="D137" s="34"/>
      <c r="E137" s="27"/>
      <c r="F137" s="27"/>
      <c r="H137" s="35"/>
      <c r="I137" s="29"/>
      <c r="J137" s="29"/>
      <c r="K137" s="23">
        <f t="shared" si="8"/>
      </c>
      <c r="L137" s="24">
        <f t="shared" si="9"/>
      </c>
      <c r="N137" s="842" t="s">
        <v>11</v>
      </c>
    </row>
    <row r="138" spans="1:14" ht="12.75" customHeight="1">
      <c r="A138" s="17" t="s">
        <v>23</v>
      </c>
      <c r="B138" s="37" t="s">
        <v>18</v>
      </c>
      <c r="C138" s="38"/>
      <c r="D138" s="19"/>
      <c r="H138" s="20"/>
      <c r="I138" s="21"/>
      <c r="J138" s="21"/>
      <c r="K138" s="23">
        <f aca="true" t="shared" si="13" ref="K138:K201">IF(L138="","","│")</f>
      </c>
      <c r="L138" s="24">
        <f aca="true" t="shared" si="14" ref="L138:L201">IF(OR(B138="-",N138="",AND(D138="",H138="")),"",1)</f>
      </c>
      <c r="N138" s="839" t="str">
        <f>IF($L$1="","",$L$1)</f>
        <v>x</v>
      </c>
    </row>
    <row r="139" spans="2:14" ht="12.75" hidden="1">
      <c r="B139" s="25" t="str">
        <f>IF(Plan!B56="","-",Plan!B56)</f>
        <v>Landwirtschaftliches Einkommen ohne Förderungen</v>
      </c>
      <c r="C139" s="38" t="s">
        <v>21</v>
      </c>
      <c r="D139" s="31">
        <f>IF('[2]E-Plan'!$E56="","",'[2]E-Plan'!$E56)</f>
        <v>-16887.30960370741</v>
      </c>
      <c r="E139" s="27"/>
      <c r="F139" s="32" t="str">
        <f>IF(AND(H97="",H134=""),"-",SUM(H97,H134,Plan!E53:E55))</f>
        <v>-</v>
      </c>
      <c r="H139" s="33">
        <f>IF(Plan!$E56="","",Plan!$E56)</f>
        <v>-169.54843418360178</v>
      </c>
      <c r="I139" s="29" t="str">
        <f>IF(B139="-","",IF(D139=H139,"Richtig!",IF(AND(D139&lt;&gt;H139,F139=H139),"Formel: OK",IF(H139="","Fehlt","Falsch"))))</f>
        <v>Falsch</v>
      </c>
      <c r="J139" s="30" t="str">
        <f aca="true" t="shared" si="15" ref="J139:J200">IF(OR(B139="-",N139="",AND(D139="",H139="")),"-",IF(I139="Richtig!",1,IF(I139="Formel: OK",0.5,IF(OR(I139="Falsch",I139="Fehlt"),0,""))))</f>
        <v>-</v>
      </c>
      <c r="K139" s="23">
        <f t="shared" si="13"/>
      </c>
      <c r="L139" s="24">
        <f t="shared" si="14"/>
      </c>
      <c r="N139" s="841"/>
    </row>
    <row r="140" spans="2:14" ht="12.75">
      <c r="B140" s="25" t="str">
        <f>IF(Plan!B57="","-",Plan!B57)</f>
        <v>LANDWIRTSCHAFTLICHES EINKOMMEN - Gesamt</v>
      </c>
      <c r="C140" s="38" t="s">
        <v>21</v>
      </c>
      <c r="D140" s="31">
        <f>IF('[2]E-Plan'!$E57="","",'[2]E-Plan'!$E57)</f>
        <v>-9275.30960370741</v>
      </c>
      <c r="E140" s="27"/>
      <c r="F140" s="32">
        <f>IF(H136="","-",SUM(H136,Plan!E53:E55))</f>
        <v>-169.54843418360178</v>
      </c>
      <c r="H140" s="33">
        <f>IF(Plan!$E57="","",Plan!$E57)</f>
      </c>
      <c r="I140" s="29" t="str">
        <f>IF(B140="-","",IF(D140=H140,"Richtig!",IF(AND(D140&lt;&gt;H140,F140=H140),"Formel: OK",IF(H140="","Fehlt","Falsch"))))</f>
        <v>Fehlt</v>
      </c>
      <c r="J140" s="30">
        <f t="shared" si="15"/>
        <v>0</v>
      </c>
      <c r="K140" s="23" t="str">
        <f t="shared" si="13"/>
        <v>│</v>
      </c>
      <c r="L140" s="24">
        <f t="shared" si="14"/>
        <v>1</v>
      </c>
      <c r="N140" s="841" t="str">
        <f>IF($L$1="","",$L$1)</f>
        <v>x</v>
      </c>
    </row>
    <row r="141" spans="2:14" ht="12.75">
      <c r="B141" s="25" t="str">
        <f>IF(Plan!B58="","-",Plan!B58)</f>
        <v>LANDWIRTSCHAFTLICHES EINKOMMEN - EK/Akh</v>
      </c>
      <c r="C141" s="38" t="s">
        <v>21</v>
      </c>
      <c r="D141" s="31">
        <f>IF('[2]E-Plan'!$E58="","",'[2]E-Plan'!$E58)</f>
        <v>-8.864273252967315</v>
      </c>
      <c r="E141" s="27"/>
      <c r="F141" s="32" t="str">
        <f>IF(OR(H140="",H131="",H131=0),"-",H140/H131)</f>
        <v>-</v>
      </c>
      <c r="H141" s="33">
        <f>IF(Plan!$E58="","",Plan!$E58)</f>
      </c>
      <c r="I141" s="29" t="str">
        <f>IF(B141="-","",IF(D141=H141,"Richtig!",IF(AND(D141&lt;&gt;H141,F141=H141),"Formel: OK",IF(H141="","Fehlt","Falsch"))))</f>
        <v>Fehlt</v>
      </c>
      <c r="J141" s="30">
        <f t="shared" si="15"/>
        <v>0</v>
      </c>
      <c r="K141" s="23" t="str">
        <f t="shared" si="13"/>
        <v>│</v>
      </c>
      <c r="L141" s="24">
        <f t="shared" si="14"/>
        <v>1</v>
      </c>
      <c r="N141" s="841" t="str">
        <f>IF($L$1="","",$L$1)</f>
        <v>x</v>
      </c>
    </row>
    <row r="142" spans="2:14" ht="12.75">
      <c r="B142" s="25" t="str">
        <f>IF(Plan!B61="","-",Plan!B61)</f>
        <v>GESAMTEINKOMMEN</v>
      </c>
      <c r="C142" s="38" t="s">
        <v>21</v>
      </c>
      <c r="D142" s="31">
        <f>IF('[2]E-Plan'!$E61="","",'[2]E-Plan'!$E61)</f>
        <v>28254.69039629259</v>
      </c>
      <c r="E142" s="27"/>
      <c r="F142" s="32" t="str">
        <f>IF(H140="","-",SUM(H140,Plan!E59:E60))</f>
        <v>-</v>
      </c>
      <c r="H142" s="33">
        <f>IF(Plan!$E61="","",Plan!$E61)</f>
      </c>
      <c r="I142" s="29" t="str">
        <f>IF(B142="-","",IF(D142=H142,"Richtig!",IF(AND(D142&lt;&gt;H142,F142=H142),"Formel: OK",IF(H142="","Fehlt","Falsch"))))</f>
        <v>Fehlt</v>
      </c>
      <c r="J142" s="30">
        <f t="shared" si="15"/>
        <v>0</v>
      </c>
      <c r="K142" s="23" t="str">
        <f t="shared" si="13"/>
        <v>│</v>
      </c>
      <c r="L142" s="24">
        <f t="shared" si="14"/>
        <v>1</v>
      </c>
      <c r="N142" s="841" t="str">
        <f>IF($L$1="","",$L$1)</f>
        <v>x</v>
      </c>
    </row>
    <row r="143" spans="1:14" ht="12.75" customHeight="1" hidden="1">
      <c r="A143" s="18"/>
      <c r="C143" s="38"/>
      <c r="D143" s="34"/>
      <c r="E143" s="27"/>
      <c r="F143" s="27"/>
      <c r="H143" s="35"/>
      <c r="I143" s="29"/>
      <c r="J143" s="29"/>
      <c r="K143" s="23">
        <f t="shared" si="13"/>
      </c>
      <c r="L143" s="24">
        <f t="shared" si="14"/>
      </c>
      <c r="N143" s="842"/>
    </row>
    <row r="144" spans="1:14" ht="12.75" customHeight="1" hidden="1">
      <c r="A144" s="17" t="s">
        <v>24</v>
      </c>
      <c r="B144" s="37" t="str">
        <f>Plan!F43</f>
        <v>Kapitaldienstgrenze</v>
      </c>
      <c r="C144" s="38"/>
      <c r="D144" s="19"/>
      <c r="H144" s="20"/>
      <c r="I144" s="21"/>
      <c r="J144" s="21"/>
      <c r="K144" s="23">
        <f t="shared" si="13"/>
      </c>
      <c r="L144" s="24">
        <f t="shared" si="14"/>
      </c>
      <c r="N144" s="839"/>
    </row>
    <row r="145" spans="2:14" ht="12.75" hidden="1">
      <c r="B145" s="25" t="str">
        <f>IF(Plan!F46="","-",Plan!F46)</f>
        <v>Kapitaldienstgrenze bei PLAN-Variante</v>
      </c>
      <c r="C145" s="38" t="s">
        <v>21</v>
      </c>
      <c r="D145" s="31">
        <f>IF('[2]E-Plan'!$I46="","",'[2]E-Plan'!$I46)</f>
        <v>4655.572163809526</v>
      </c>
      <c r="E145" s="27"/>
      <c r="F145" s="32">
        <f>SUM(Plan!I44:I45)</f>
        <v>-18112</v>
      </c>
      <c r="H145" s="33">
        <f>IF(Plan!$I46="","",Plan!$I46)</f>
        <v>-18112</v>
      </c>
      <c r="I145" s="29" t="str">
        <f>IF(B145="-","",IF(D145=H145,"Richtig!",IF(AND(D145&lt;&gt;H145,F145=H145),"Formel: OK",IF(H145="","Fehlt","Falsch"))))</f>
        <v>Formel: OK</v>
      </c>
      <c r="J145" s="30" t="str">
        <f t="shared" si="15"/>
        <v>-</v>
      </c>
      <c r="K145" s="23">
        <f t="shared" si="13"/>
      </c>
      <c r="L145" s="24">
        <f t="shared" si="14"/>
      </c>
      <c r="N145" s="841"/>
    </row>
    <row r="146" spans="2:14" ht="12.75" hidden="1">
      <c r="B146" s="25" t="str">
        <f>IF(Plan!F49="","-",Plan!F49)</f>
        <v>Davon Fremdkapital</v>
      </c>
      <c r="C146" s="38" t="s">
        <v>21</v>
      </c>
      <c r="D146" s="26">
        <f>IF('[2]E-Plan'!$I49="","",'[2]E-Plan'!$I49)</f>
        <v>12000</v>
      </c>
      <c r="E146" s="27"/>
      <c r="H146" s="28">
        <f>IF(Plan!$I49="","",Plan!$I49)</f>
        <v>12000</v>
      </c>
      <c r="I146" s="29" t="str">
        <f>IF(AND(D146="",H146=""),"",IF(D146=H146,"Richtig!",IF(H146="","Fehlt","Falsch")))</f>
        <v>Richtig!</v>
      </c>
      <c r="J146" s="30" t="str">
        <f t="shared" si="15"/>
        <v>-</v>
      </c>
      <c r="K146" s="23">
        <f t="shared" si="13"/>
      </c>
      <c r="L146" s="24">
        <f t="shared" si="14"/>
      </c>
      <c r="N146" s="841"/>
    </row>
    <row r="147" spans="1:14" ht="12.75" customHeight="1">
      <c r="A147" s="18"/>
      <c r="C147" s="18"/>
      <c r="D147" s="34"/>
      <c r="E147" s="27"/>
      <c r="F147" s="27"/>
      <c r="H147" s="35"/>
      <c r="I147" s="29"/>
      <c r="J147" s="29"/>
      <c r="K147" s="23">
        <f t="shared" si="13"/>
      </c>
      <c r="L147" s="24">
        <f t="shared" si="14"/>
      </c>
      <c r="N147" s="842" t="str">
        <f>IF($L$1="","",$L$1)</f>
        <v>x</v>
      </c>
    </row>
    <row r="148" spans="1:14" ht="22.5">
      <c r="A148" s="10" t="str">
        <f>Fin!B1</f>
        <v>Berechnung der Kapitalkosten</v>
      </c>
      <c r="B148" s="11"/>
      <c r="C148" s="12"/>
      <c r="D148" s="13" t="s">
        <v>4</v>
      </c>
      <c r="E148" s="13"/>
      <c r="F148" s="14" t="s">
        <v>5</v>
      </c>
      <c r="G148" s="12"/>
      <c r="H148" s="14" t="s">
        <v>6</v>
      </c>
      <c r="I148" s="15" t="str">
        <f>"Fehler"</f>
        <v>Fehler</v>
      </c>
      <c r="J148" s="16" t="s">
        <v>7</v>
      </c>
      <c r="K148" s="16"/>
      <c r="L148" s="16"/>
      <c r="N148" s="840" t="str">
        <f>IF($L$1="","",$L$1)</f>
        <v>x</v>
      </c>
    </row>
    <row r="149" spans="1:14" ht="12.75" customHeight="1">
      <c r="A149" s="17" t="s">
        <v>9</v>
      </c>
      <c r="B149" s="37" t="str">
        <f>IF(Fin!G5="","-",Fin!G5)</f>
        <v>Annuität</v>
      </c>
      <c r="C149" s="18"/>
      <c r="D149" s="19"/>
      <c r="H149" s="20"/>
      <c r="I149" s="21"/>
      <c r="J149" s="21"/>
      <c r="K149" s="23">
        <f t="shared" si="13"/>
      </c>
      <c r="L149" s="24">
        <f t="shared" si="14"/>
      </c>
      <c r="N149" s="839" t="str">
        <f>IF($L$1="","",$L$1)</f>
        <v>x</v>
      </c>
    </row>
    <row r="150" spans="2:14" ht="12.75" hidden="1">
      <c r="B150" s="25" t="str">
        <f>IF(Fin!B6="","-",Fin!B6)</f>
        <v>Eigenkapital</v>
      </c>
      <c r="C150" s="18"/>
      <c r="D150" s="26">
        <f>IF('[2]E-Fin'!$G6="","",'[2]E-Fin'!$G6)</f>
        <v>-2278.0099286492773</v>
      </c>
      <c r="E150" s="27"/>
      <c r="H150" s="28">
        <f>IF(Fin!$G6="","",Fin!$G6)</f>
        <v>-2278.0099286492773</v>
      </c>
      <c r="I150" s="29" t="str">
        <f>IF(AND(D150="",H150=""),"",IF(D150=H150,"Richtig!",IF(H150="","Fehlt","Falsch")))</f>
        <v>Richtig!</v>
      </c>
      <c r="J150" s="30" t="str">
        <f t="shared" si="15"/>
        <v>-</v>
      </c>
      <c r="K150" s="23">
        <f t="shared" si="13"/>
      </c>
      <c r="L150" s="24">
        <f t="shared" si="14"/>
      </c>
      <c r="N150" s="841"/>
    </row>
    <row r="151" spans="2:14" ht="12.75" hidden="1">
      <c r="B151" s="25" t="str">
        <f>IF(Fin!B7="","-",Fin!B7)</f>
        <v>AIK-Kredit</v>
      </c>
      <c r="C151" s="18"/>
      <c r="D151" s="26">
        <f>IF('[2]E-Fin'!$G7="","",'[2]E-Fin'!$G7)</f>
        <v>-573.3316888341176</v>
      </c>
      <c r="E151" s="27"/>
      <c r="H151" s="28">
        <f>IF(Fin!$G7="","",Fin!$G7)</f>
        <v>-573.3316888341176</v>
      </c>
      <c r="I151" s="29" t="str">
        <f>IF(AND(D151="",H151=""),"",IF(D151=H151,"Richtig!",IF(H151="","Fehlt","Falsch")))</f>
        <v>Richtig!</v>
      </c>
      <c r="J151" s="30" t="str">
        <f t="shared" si="15"/>
        <v>-</v>
      </c>
      <c r="K151" s="23">
        <f t="shared" si="13"/>
      </c>
      <c r="L151" s="24">
        <f t="shared" si="14"/>
      </c>
      <c r="N151" s="841"/>
    </row>
    <row r="152" spans="2:14" ht="12.75" hidden="1">
      <c r="B152" s="25" t="str">
        <f>IF(Fin!B8="","-",Fin!B8)</f>
        <v>-</v>
      </c>
      <c r="C152" s="18"/>
      <c r="D152" s="26">
        <f>IF('[2]E-Fin'!$G8="","",'[2]E-Fin'!$G8)</f>
      </c>
      <c r="E152" s="27"/>
      <c r="H152" s="28">
        <f>IF(Fin!$G8="","",Fin!$G8)</f>
      </c>
      <c r="I152" s="29">
        <f>IF(AND(D152="",H152=""),"",IF(D152=H152,"Richtig!",IF(H152="","Fehlt","Falsch")))</f>
      </c>
      <c r="J152" s="30" t="str">
        <f t="shared" si="15"/>
        <v>-</v>
      </c>
      <c r="K152" s="23">
        <f t="shared" si="13"/>
      </c>
      <c r="L152" s="24">
        <f t="shared" si="14"/>
      </c>
      <c r="N152" s="841"/>
    </row>
    <row r="153" spans="2:14" ht="12.75" hidden="1">
      <c r="B153" s="25" t="str">
        <f>IF(Fin!B9="","-",Fin!B9)</f>
        <v>-</v>
      </c>
      <c r="C153" s="18"/>
      <c r="D153" s="26">
        <f>IF('[2]E-Fin'!$G9="","",'[2]E-Fin'!$G9)</f>
      </c>
      <c r="E153" s="27"/>
      <c r="H153" s="28">
        <f>IF(Fin!$G9="","",Fin!$G9)</f>
      </c>
      <c r="I153" s="29">
        <f>IF(AND(D153="",H153=""),"",IF(D153=H153,"Richtig!",IF(H153="","Fehlt","Falsch")))</f>
      </c>
      <c r="J153" s="30" t="str">
        <f t="shared" si="15"/>
        <v>-</v>
      </c>
      <c r="K153" s="23">
        <f t="shared" si="13"/>
      </c>
      <c r="L153" s="24">
        <f t="shared" si="14"/>
      </c>
      <c r="N153" s="841"/>
    </row>
    <row r="154" spans="2:14" ht="12.75" hidden="1">
      <c r="B154" s="25" t="str">
        <f>IF(Fin!B10="","-",Fin!B10)</f>
        <v>-</v>
      </c>
      <c r="C154" s="18"/>
      <c r="D154" s="26">
        <f>IF('[2]E-Fin'!$G10="","",'[2]E-Fin'!$G10)</f>
      </c>
      <c r="E154" s="27"/>
      <c r="H154" s="28">
        <f>IF(Fin!$G10="","",Fin!$G10)</f>
      </c>
      <c r="I154" s="29">
        <f>IF(AND(D154="",H154=""),"",IF(D154=H154,"Richtig!",IF(H154="","Fehlt","Falsch")))</f>
      </c>
      <c r="J154" s="30" t="str">
        <f t="shared" si="15"/>
        <v>-</v>
      </c>
      <c r="K154" s="23">
        <f t="shared" si="13"/>
      </c>
      <c r="L154" s="24">
        <f t="shared" si="14"/>
      </c>
      <c r="N154" s="841"/>
    </row>
    <row r="155" spans="2:14" ht="12.75">
      <c r="B155" s="25" t="str">
        <f>IF(Fin!B11="","-",Fin!B11)</f>
        <v>SUMME DER ANNUITÄTEN = KAPITALKOSTEN</v>
      </c>
      <c r="C155" s="18"/>
      <c r="D155" s="31">
        <f>IF('[2]E-Fin'!$G11="","",'[2]E-Fin'!$G11)</f>
        <v>-2851.3416174833947</v>
      </c>
      <c r="E155" s="27"/>
      <c r="F155" s="32">
        <f>IF(AND(H150="",H151="",H152="",H153="",H154=""),"-",SUM(H150:H154))</f>
        <v>-2851.3416174833947</v>
      </c>
      <c r="H155" s="33">
        <f>IF(Fin!$G11="","",Fin!$G11)</f>
      </c>
      <c r="I155" s="29" t="str">
        <f>IF(B155="-","",IF(D155=H155,"Richtig!",IF(AND(D155&lt;&gt;H155,F155=H155),"Formel: OK",IF(H155="","Fehlt","Falsch"))))</f>
        <v>Fehlt</v>
      </c>
      <c r="J155" s="30">
        <f t="shared" si="15"/>
        <v>0</v>
      </c>
      <c r="K155" s="23" t="str">
        <f t="shared" si="13"/>
        <v>│</v>
      </c>
      <c r="L155" s="24">
        <f t="shared" si="14"/>
        <v>1</v>
      </c>
      <c r="N155" s="841" t="str">
        <f>IF($L$1="","",$L$1)</f>
        <v>x</v>
      </c>
    </row>
    <row r="156" spans="1:14" ht="12.75" customHeight="1">
      <c r="A156" s="18"/>
      <c r="C156" s="18"/>
      <c r="D156" s="34"/>
      <c r="E156" s="27"/>
      <c r="F156" s="27"/>
      <c r="H156" s="35"/>
      <c r="I156" s="29"/>
      <c r="J156" s="29"/>
      <c r="K156" s="23">
        <f t="shared" si="13"/>
      </c>
      <c r="L156" s="24">
        <f t="shared" si="14"/>
      </c>
      <c r="N156" s="842" t="str">
        <f>IF($L$1="","",$L$1)</f>
        <v>x</v>
      </c>
    </row>
    <row r="157" spans="1:14" ht="12.75" customHeight="1">
      <c r="A157" s="17" t="s">
        <v>12</v>
      </c>
      <c r="B157" s="37" t="str">
        <f>Fin!B13</f>
        <v>Berechnung der Leistung der Investition</v>
      </c>
      <c r="C157" s="18"/>
      <c r="D157" s="19"/>
      <c r="H157" s="20"/>
      <c r="I157" s="21"/>
      <c r="J157" s="21"/>
      <c r="K157" s="23">
        <f t="shared" si="13"/>
      </c>
      <c r="L157" s="24">
        <f t="shared" si="14"/>
      </c>
      <c r="N157" s="839" t="str">
        <f>IF($L$1="","",$L$1)</f>
        <v>x</v>
      </c>
    </row>
    <row r="158" spans="2:14" ht="12.75">
      <c r="B158" s="25" t="str">
        <f>IF(Fin!D13="","-",Fin!D13)</f>
        <v>Gesamt-DB</v>
      </c>
      <c r="C158" s="18"/>
      <c r="D158" s="31">
        <f>IF('[2]E-Fin'!$D16="","",'[2]E-Fin'!$D16)</f>
        <v>-1679.2735066666664</v>
      </c>
      <c r="E158" s="27"/>
      <c r="F158" s="32">
        <f>IF(OR(Fin!D14="noch leer",Fin!D15="noch leer",AND(Fin!D14="",Fin!D15="",)),"-",SUM(Fin!D14,-Fin!D15))</f>
        <v>0</v>
      </c>
      <c r="H158" s="33">
        <f>IF(Fin!$D16="","",Fin!$D16)</f>
      </c>
      <c r="I158" s="29" t="str">
        <f>IF(B158="-","",IF(D158=H158,"Richtig!",IF(AND(D158&lt;&gt;H158,F158=H158),"Formel: OK",IF(H158="","Fehlt","Falsch"))))</f>
        <v>Fehlt</v>
      </c>
      <c r="J158" s="30">
        <f t="shared" si="15"/>
        <v>0</v>
      </c>
      <c r="K158" s="23" t="str">
        <f t="shared" si="13"/>
        <v>│</v>
      </c>
      <c r="L158" s="24">
        <f t="shared" si="14"/>
        <v>1</v>
      </c>
      <c r="N158" s="841" t="str">
        <f>IF($L$1="","",$L$1)</f>
        <v>x</v>
      </c>
    </row>
    <row r="159" spans="2:14" ht="12.75" hidden="1">
      <c r="B159" s="1" t="str">
        <f>IF(Fin!E13="","-",Fin!E13)</f>
        <v>-</v>
      </c>
      <c r="D159" s="31">
        <f>IF('[2]E-Fin'!$E16="","",'[2]E-Fin'!$E16)</f>
        <v>-9672.1552741836</v>
      </c>
      <c r="E159" s="27"/>
      <c r="F159" s="32" t="str">
        <f>IF(OR(Fin!K14="noch leer",Fin!K15="noch leer",AND(Fin!K14="",Fin!K15="")),"-",SUM(Fin!K14,-Fin!K15))</f>
        <v>-</v>
      </c>
      <c r="H159" s="33">
        <f>IF(Fin!$K16="","",Fin!$K16)</f>
      </c>
      <c r="I159" s="29">
        <f>IF(B159="-","",IF(D159=H159,"Richtig!",IF(AND(D159&lt;&gt;H159,F159=H159),"Formel: OK",IF(H159="","Fehlt","Falsch"))))</f>
      </c>
      <c r="J159" s="30" t="str">
        <f t="shared" si="15"/>
        <v>-</v>
      </c>
      <c r="K159" s="23">
        <f t="shared" si="13"/>
      </c>
      <c r="L159" s="24">
        <f t="shared" si="14"/>
      </c>
      <c r="N159" s="841"/>
    </row>
    <row r="160" spans="2:14" ht="12.75">
      <c r="B160" s="1" t="str">
        <f>IF(Fin!D13="","-",Fin!D13)</f>
        <v>Gesamt-DB</v>
      </c>
      <c r="D160" s="31">
        <f>IF('[2]E-Fin'!$D16="","",'[2]E-Fin'!$D16)</f>
        <v>-1679.2735066666664</v>
      </c>
      <c r="E160" s="27"/>
      <c r="F160" s="32">
        <f>IF(OR(Fin!D14="noch leer",Fin!D15="noch leer",AND(Fin!D14="",Fin!D15="")),"-",SUM(Fin!D14,-Fin!D15))</f>
        <v>0</v>
      </c>
      <c r="H160" s="33">
        <f>IF(Fin!$D16="","",Fin!$D16)</f>
      </c>
      <c r="I160" s="29" t="str">
        <f>IF(B160="-","",IF(D160=H160,"Richtig!",IF(AND(D160&lt;&gt;H160,F160=H160),"Formel: OK",IF(H160="","Fehlt","Falsch"))))</f>
        <v>Fehlt</v>
      </c>
      <c r="J160" s="30">
        <f t="shared" si="15"/>
        <v>0</v>
      </c>
      <c r="K160" s="23" t="str">
        <f t="shared" si="13"/>
        <v>│</v>
      </c>
      <c r="L160" s="24">
        <f t="shared" si="14"/>
        <v>1</v>
      </c>
      <c r="N160" s="841" t="str">
        <f aca="true" t="shared" si="16" ref="N160:N165">IF($L$1="","",$L$1)</f>
        <v>x</v>
      </c>
    </row>
    <row r="161" spans="1:14" ht="12.75" customHeight="1">
      <c r="A161" s="18"/>
      <c r="C161" s="18"/>
      <c r="D161" s="34"/>
      <c r="E161" s="27"/>
      <c r="F161" s="27"/>
      <c r="H161" s="35"/>
      <c r="I161" s="29"/>
      <c r="J161" s="29"/>
      <c r="K161" s="23">
        <f t="shared" si="13"/>
      </c>
      <c r="L161" s="24">
        <f t="shared" si="14"/>
      </c>
      <c r="N161" s="842" t="str">
        <f t="shared" si="16"/>
        <v>x</v>
      </c>
    </row>
    <row r="162" spans="1:14" ht="12.75" customHeight="1">
      <c r="A162" s="17" t="s">
        <v>14</v>
      </c>
      <c r="B162" s="37" t="s">
        <v>25</v>
      </c>
      <c r="C162" s="18"/>
      <c r="D162" s="19"/>
      <c r="H162" s="20"/>
      <c r="I162" s="21"/>
      <c r="J162" s="21"/>
      <c r="K162" s="23">
        <f t="shared" si="13"/>
      </c>
      <c r="L162" s="24">
        <f t="shared" si="14"/>
      </c>
      <c r="N162" s="839" t="str">
        <f t="shared" si="16"/>
        <v>x</v>
      </c>
    </row>
    <row r="163" spans="2:14" ht="12.75">
      <c r="B163" s="1" t="s">
        <v>26</v>
      </c>
      <c r="D163" s="31">
        <f>IF('[2]E-Fin'!$F23="","",'[2]E-Fin'!$F23)</f>
        <v>-4530.615124150061</v>
      </c>
      <c r="E163" s="27"/>
      <c r="F163" s="32" t="str">
        <f>IF(OR(Fin!B23="",Fin!B23="noch leer",Fin!D23="",Fin!D23="noch leer"),"-",SUM(Fin!B23,-Fin!D23))</f>
        <v>-</v>
      </c>
      <c r="H163" s="33">
        <f>IF(Fin!$F23="","",Fin!$F23)</f>
      </c>
      <c r="I163" s="29" t="str">
        <f>IF(B163="-","",IF(D163=H163,"Richtig!",IF(AND(D163&lt;&gt;H163,F163=H163),"Formel: OK",IF(H163="","Fehlt","Falsch"))))</f>
        <v>Fehlt</v>
      </c>
      <c r="J163" s="30">
        <f t="shared" si="15"/>
        <v>0</v>
      </c>
      <c r="K163" s="23" t="str">
        <f t="shared" si="13"/>
        <v>│</v>
      </c>
      <c r="L163" s="24">
        <f t="shared" si="14"/>
        <v>1</v>
      </c>
      <c r="N163" s="841" t="str">
        <f t="shared" si="16"/>
        <v>x</v>
      </c>
    </row>
    <row r="164" spans="2:14" ht="12.75">
      <c r="B164" s="1" t="s">
        <v>27</v>
      </c>
      <c r="D164" s="31" t="str">
        <f>IF(AND('[2]E-Fin'!$E25="",'[2]E-Fin'!$F25&lt;&gt;""),'[2]E-Fin'!$F24,IF(AND('[2]E-Fin'!$F25="",'[2]E-Fin'!$E25&lt;&gt;""),'[2]E-Fin'!$E24,""))</f>
        <v>Nein</v>
      </c>
      <c r="E164" s="27"/>
      <c r="F164" s="32" t="str">
        <f>IF(H163="","-",IF(H163&gt;=0,"Ja","Nein"))</f>
        <v>-</v>
      </c>
      <c r="H164" s="33">
        <f>IF(AND(Fin!$E25="",Fin!$F25&lt;&gt;""),Fin!$F24,IF(AND(Fin!$F25="",Fin!$E25&lt;&gt;""),Fin!$E24,""))</f>
      </c>
      <c r="I164" s="29" t="str">
        <f>IF(B164="-","",IF(D164=H164,"Richtig!",IF(AND(D164&lt;&gt;H164,F164=H164),"Formel: OK",IF(H164="","Fehlt","Falsch"))))</f>
        <v>Fehlt</v>
      </c>
      <c r="J164" s="30">
        <f t="shared" si="15"/>
        <v>0</v>
      </c>
      <c r="K164" s="23" t="str">
        <f t="shared" si="13"/>
        <v>│</v>
      </c>
      <c r="L164" s="24">
        <f t="shared" si="14"/>
        <v>1</v>
      </c>
      <c r="N164" s="841" t="str">
        <f t="shared" si="16"/>
        <v>x</v>
      </c>
    </row>
    <row r="165" spans="1:14" ht="12.75" customHeight="1">
      <c r="A165" s="18"/>
      <c r="C165" s="18"/>
      <c r="D165" s="34"/>
      <c r="E165" s="27"/>
      <c r="F165" s="27"/>
      <c r="H165" s="35"/>
      <c r="I165" s="29"/>
      <c r="J165" s="29"/>
      <c r="K165" s="23">
        <f t="shared" si="13"/>
      </c>
      <c r="L165" s="24">
        <f t="shared" si="14"/>
      </c>
      <c r="N165" s="842" t="str">
        <f t="shared" si="16"/>
        <v>x</v>
      </c>
    </row>
    <row r="166" spans="1:14" ht="22.5" hidden="1">
      <c r="A166" s="10" t="str">
        <f>Fin!B27</f>
        <v>Ermittlung des Kapitaldienstes</v>
      </c>
      <c r="B166" s="11"/>
      <c r="C166" s="12"/>
      <c r="D166" s="13" t="s">
        <v>4</v>
      </c>
      <c r="E166" s="13"/>
      <c r="F166" s="14" t="s">
        <v>5</v>
      </c>
      <c r="G166" s="12"/>
      <c r="H166" s="14" t="s">
        <v>6</v>
      </c>
      <c r="I166" s="15" t="str">
        <f>"Fehler"</f>
        <v>Fehler</v>
      </c>
      <c r="J166" s="16" t="s">
        <v>7</v>
      </c>
      <c r="K166" s="16"/>
      <c r="L166" s="16"/>
      <c r="N166" s="840"/>
    </row>
    <row r="167" spans="1:14" ht="12.75" customHeight="1" hidden="1">
      <c r="A167" s="17" t="s">
        <v>9</v>
      </c>
      <c r="B167" s="37" t="str">
        <f>Fin!G30</f>
        <v>Annuität</v>
      </c>
      <c r="C167" s="18"/>
      <c r="D167" s="19"/>
      <c r="H167" s="20"/>
      <c r="I167" s="21"/>
      <c r="J167" s="21"/>
      <c r="K167" s="23">
        <f t="shared" si="13"/>
      </c>
      <c r="L167" s="24">
        <f t="shared" si="14"/>
      </c>
      <c r="N167" s="839"/>
    </row>
    <row r="168" spans="2:14" ht="12.75" hidden="1">
      <c r="B168" s="25" t="str">
        <f>IF(Fin!B31="","-",Fin!B31)</f>
        <v>AIK-Kredit</v>
      </c>
      <c r="C168" s="18"/>
      <c r="D168" s="26">
        <f>IF('[2]E-Fin'!$G31="","",'[2]E-Fin'!$G31)</f>
        <v>-801.1273815520228</v>
      </c>
      <c r="E168" s="27"/>
      <c r="H168" s="28">
        <f>IF(Fin!$G31="","",Fin!$G31)</f>
        <v>-801.1273815520228</v>
      </c>
      <c r="I168" s="29" t="str">
        <f>IF(AND(D168="",H168=""),"",IF(D168=H168,"Richtig!",IF(H168="","Fehlt","Falsch")))</f>
        <v>Richtig!</v>
      </c>
      <c r="J168" s="30" t="str">
        <f t="shared" si="15"/>
        <v>-</v>
      </c>
      <c r="K168" s="23">
        <f t="shared" si="13"/>
      </c>
      <c r="L168" s="24">
        <f t="shared" si="14"/>
      </c>
      <c r="N168" s="841"/>
    </row>
    <row r="169" spans="2:14" ht="12.75" hidden="1">
      <c r="B169" s="25" t="str">
        <f>IF(Fin!B32="","-",Fin!B32)</f>
        <v>-</v>
      </c>
      <c r="C169" s="18"/>
      <c r="D169" s="26">
        <f>IF('[2]E-Fin'!$G32="","",'[2]E-Fin'!$G32)</f>
      </c>
      <c r="E169" s="27"/>
      <c r="H169" s="28">
        <f>IF(Fin!$G32="","",Fin!$G32)</f>
      </c>
      <c r="I169" s="29">
        <f>IF(AND(D169="",H169=""),"",IF(D169=H169,"Richtig!",IF(H169="","Fehlt","Falsch")))</f>
      </c>
      <c r="J169" s="30" t="str">
        <f t="shared" si="15"/>
        <v>-</v>
      </c>
      <c r="K169" s="23">
        <f t="shared" si="13"/>
      </c>
      <c r="L169" s="24">
        <f t="shared" si="14"/>
      </c>
      <c r="N169" s="841"/>
    </row>
    <row r="170" spans="2:14" ht="12.75" hidden="1">
      <c r="B170" s="25" t="str">
        <f>IF(Fin!B33="","-",Fin!B33)</f>
        <v>-</v>
      </c>
      <c r="C170" s="18"/>
      <c r="D170" s="26">
        <f>IF('[2]E-Fin'!$G33="","",'[2]E-Fin'!$G33)</f>
      </c>
      <c r="E170" s="27"/>
      <c r="H170" s="28">
        <f>IF(Fin!$G33="","",Fin!$G33)</f>
      </c>
      <c r="I170" s="29">
        <f>IF(AND(D170="",H170=""),"",IF(D170=H170,"Richtig!",IF(H170="","Fehlt","Falsch")))</f>
      </c>
      <c r="J170" s="30" t="str">
        <f t="shared" si="15"/>
        <v>-</v>
      </c>
      <c r="K170" s="23">
        <f t="shared" si="13"/>
      </c>
      <c r="L170" s="24">
        <f t="shared" si="14"/>
      </c>
      <c r="N170" s="841"/>
    </row>
    <row r="171" spans="2:14" ht="12.75" hidden="1">
      <c r="B171" s="25" t="str">
        <f>IF(Fin!B34="","-",Fin!B34)</f>
        <v>-</v>
      </c>
      <c r="C171" s="18"/>
      <c r="D171" s="26">
        <f>IF('[2]E-Fin'!$G34="","",'[2]E-Fin'!$G34)</f>
      </c>
      <c r="E171" s="27"/>
      <c r="H171" s="28">
        <f>IF(Fin!$G34="","",Fin!$G34)</f>
      </c>
      <c r="I171" s="29">
        <f>IF(AND(D171="",H171=""),"",IF(D171=H171,"Richtig!",IF(H171="","Fehlt","Falsch")))</f>
      </c>
      <c r="J171" s="30" t="str">
        <f t="shared" si="15"/>
        <v>-</v>
      </c>
      <c r="K171" s="23">
        <f t="shared" si="13"/>
      </c>
      <c r="L171" s="24">
        <f t="shared" si="14"/>
      </c>
      <c r="N171" s="841"/>
    </row>
    <row r="172" spans="2:14" ht="12.75" hidden="1">
      <c r="B172" s="25" t="str">
        <f>IF(Fin!B35="","-",Fin!B35)</f>
        <v>Summe Annuität = Kapitaldienst</v>
      </c>
      <c r="C172" s="18"/>
      <c r="D172" s="31">
        <f>IF('[2]E-Fin'!$G35="","",'[2]E-Fin'!$G35)</f>
        <v>-801.1273815520228</v>
      </c>
      <c r="E172" s="27"/>
      <c r="F172" s="32">
        <f>IF(AND(H168="",H169="",H170="",H171=""),"-",SUM(H168:H171))</f>
        <v>-801.1273815520228</v>
      </c>
      <c r="H172" s="33">
        <f>IF(Fin!$G35="","",Fin!$G35)</f>
        <v>-801.1273815520228</v>
      </c>
      <c r="I172" s="29" t="str">
        <f>IF(B172="-","",IF(D172=H172,"Richtig!",IF(AND(D172&lt;&gt;H172,F172=H172),"Formel: OK",IF(H172="","Fehlt","Falsch"))))</f>
        <v>Richtig!</v>
      </c>
      <c r="J172" s="30" t="str">
        <f t="shared" si="15"/>
        <v>-</v>
      </c>
      <c r="K172" s="23">
        <f t="shared" si="13"/>
      </c>
      <c r="L172" s="24">
        <f t="shared" si="14"/>
      </c>
      <c r="N172" s="841"/>
    </row>
    <row r="173" spans="1:14" ht="12.75" customHeight="1" hidden="1">
      <c r="A173" s="18"/>
      <c r="C173" s="18"/>
      <c r="D173" s="34"/>
      <c r="E173" s="27"/>
      <c r="F173" s="27"/>
      <c r="H173" s="35"/>
      <c r="I173" s="29"/>
      <c r="J173" s="29"/>
      <c r="K173" s="23">
        <f t="shared" si="13"/>
      </c>
      <c r="L173" s="24">
        <f t="shared" si="14"/>
      </c>
      <c r="N173" s="842"/>
    </row>
    <row r="174" spans="1:14" ht="22.5" hidden="1">
      <c r="A174" s="10" t="str">
        <f>Fin!B37</f>
        <v>Ermittlung der jährlichen Schuldzinsen</v>
      </c>
      <c r="B174" s="11"/>
      <c r="C174" s="12"/>
      <c r="D174" s="13" t="s">
        <v>4</v>
      </c>
      <c r="E174" s="13"/>
      <c r="F174" s="14" t="s">
        <v>5</v>
      </c>
      <c r="G174" s="12"/>
      <c r="H174" s="14" t="s">
        <v>6</v>
      </c>
      <c r="I174" s="15" t="str">
        <f>"Fehler"</f>
        <v>Fehler</v>
      </c>
      <c r="J174" s="16" t="s">
        <v>7</v>
      </c>
      <c r="K174" s="16"/>
      <c r="L174" s="16"/>
      <c r="N174" s="840"/>
    </row>
    <row r="175" spans="1:14" ht="12.75" customHeight="1" hidden="1">
      <c r="A175" s="17" t="s">
        <v>9</v>
      </c>
      <c r="B175" s="37" t="s">
        <v>28</v>
      </c>
      <c r="C175" s="18"/>
      <c r="D175" s="19"/>
      <c r="H175" s="20"/>
      <c r="I175" s="21"/>
      <c r="J175" s="21"/>
      <c r="K175" s="23">
        <f t="shared" si="13"/>
      </c>
      <c r="L175" s="24">
        <f t="shared" si="14"/>
      </c>
      <c r="N175" s="839"/>
    </row>
    <row r="176" spans="2:14" ht="12.75" hidden="1">
      <c r="B176" s="25" t="str">
        <f>IF(Fin!B40="","-",Fin!B40)</f>
        <v>AIK-Kredit</v>
      </c>
      <c r="C176" s="18"/>
      <c r="D176" s="26">
        <f>IF('[2]E-Fin'!$F40="","",'[2]E-Fin'!$F40)</f>
        <v>631.578947368421</v>
      </c>
      <c r="E176" s="27"/>
      <c r="H176" s="28">
        <f>IF(Fin!$F40="","",Fin!$F40)</f>
        <v>631.578947368421</v>
      </c>
      <c r="I176" s="29" t="str">
        <f>IF(AND(D176="",H176=""),"",IF(D176=H176,"Richtig!",IF(H176="","Fehlt","Falsch")))</f>
        <v>Richtig!</v>
      </c>
      <c r="J176" s="30" t="str">
        <f t="shared" si="15"/>
        <v>-</v>
      </c>
      <c r="K176" s="23">
        <f t="shared" si="13"/>
      </c>
      <c r="L176" s="24">
        <f t="shared" si="14"/>
      </c>
      <c r="N176" s="841"/>
    </row>
    <row r="177" spans="2:14" ht="12.75" hidden="1">
      <c r="B177" s="25" t="str">
        <f>IF(Fin!B41="","-",Fin!B41)</f>
        <v>-</v>
      </c>
      <c r="C177" s="18"/>
      <c r="D177" s="26">
        <f>IF('[2]E-Fin'!$F41="","",'[2]E-Fin'!$F41)</f>
      </c>
      <c r="E177" s="27"/>
      <c r="H177" s="28">
        <f>IF(Fin!$F41="","",Fin!$F41)</f>
      </c>
      <c r="I177" s="29">
        <f>IF(AND(D177="",H177=""),"",IF(D177=H177,"Richtig!",IF(H177="","Fehlt","Falsch")))</f>
      </c>
      <c r="J177" s="30" t="str">
        <f t="shared" si="15"/>
        <v>-</v>
      </c>
      <c r="K177" s="23">
        <f t="shared" si="13"/>
      </c>
      <c r="L177" s="24">
        <f t="shared" si="14"/>
      </c>
      <c r="N177" s="841"/>
    </row>
    <row r="178" spans="2:14" ht="12.75" hidden="1">
      <c r="B178" s="25" t="str">
        <f>IF(Fin!B42="","-",Fin!B42)</f>
        <v>-</v>
      </c>
      <c r="C178" s="18"/>
      <c r="D178" s="26">
        <f>IF('[2]E-Fin'!$F42="","",'[2]E-Fin'!$F42)</f>
      </c>
      <c r="E178" s="27"/>
      <c r="H178" s="28">
        <f>IF(Fin!$F42="","",Fin!$F42)</f>
      </c>
      <c r="I178" s="29">
        <f>IF(AND(D178="",H178=""),"",IF(D178=H178,"Richtig!",IF(H178="","Fehlt","Falsch")))</f>
      </c>
      <c r="J178" s="30" t="str">
        <f t="shared" si="15"/>
        <v>-</v>
      </c>
      <c r="K178" s="23">
        <f t="shared" si="13"/>
      </c>
      <c r="L178" s="24">
        <f t="shared" si="14"/>
      </c>
      <c r="N178" s="841"/>
    </row>
    <row r="179" spans="2:14" ht="12.75" hidden="1">
      <c r="B179" s="25" t="str">
        <f>IF(Fin!B43="","-",Fin!B43)</f>
        <v>-</v>
      </c>
      <c r="C179" s="18"/>
      <c r="D179" s="26">
        <f>IF('[2]E-Fin'!$F43="","",'[2]E-Fin'!$F43)</f>
      </c>
      <c r="E179" s="27"/>
      <c r="H179" s="28">
        <f>IF(Fin!$F43="","",Fin!$F43)</f>
      </c>
      <c r="I179" s="29">
        <f>IF(AND(D179="",H179=""),"",IF(D179=H179,"Richtig!",IF(H179="","Fehlt","Falsch")))</f>
      </c>
      <c r="J179" s="30" t="str">
        <f t="shared" si="15"/>
        <v>-</v>
      </c>
      <c r="K179" s="23">
        <f t="shared" si="13"/>
      </c>
      <c r="L179" s="24">
        <f t="shared" si="14"/>
      </c>
      <c r="N179" s="841"/>
    </row>
    <row r="180" spans="2:14" ht="12.75" hidden="1">
      <c r="B180" s="25" t="str">
        <f>IF(Fin!B44="","-",Fin!B44)</f>
        <v>Summe</v>
      </c>
      <c r="C180" s="18"/>
      <c r="D180" s="31">
        <f>IF('[2]E-Fin'!$F44="","",'[2]E-Fin'!$F44)</f>
        <v>631.578947368421</v>
      </c>
      <c r="E180" s="27"/>
      <c r="F180" s="32">
        <f>IF(AND(H176="",H177="",H178="",H179=""),"-",SUM(H176:H179))</f>
        <v>631.578947368421</v>
      </c>
      <c r="H180" s="33">
        <f>IF(Fin!$F44="","",Fin!$F44)</f>
        <v>631.578947368421</v>
      </c>
      <c r="I180" s="29" t="str">
        <f>IF(B180="-","",IF(D180=H180,"Richtig!",IF(AND(D180&lt;&gt;H180,F180=H180),"Formel: OK",IF(H180="","Fehlt","Falsch"))))</f>
        <v>Richtig!</v>
      </c>
      <c r="J180" s="30" t="str">
        <f t="shared" si="15"/>
        <v>-</v>
      </c>
      <c r="K180" s="23">
        <f t="shared" si="13"/>
      </c>
      <c r="L180" s="24">
        <f t="shared" si="14"/>
      </c>
      <c r="N180" s="841"/>
    </row>
    <row r="181" spans="1:14" ht="12.75" customHeight="1" hidden="1">
      <c r="A181" s="18"/>
      <c r="C181" s="18"/>
      <c r="D181" s="34"/>
      <c r="E181" s="27"/>
      <c r="F181" s="27"/>
      <c r="H181" s="35"/>
      <c r="I181" s="29"/>
      <c r="J181" s="29"/>
      <c r="K181" s="23">
        <f t="shared" si="13"/>
      </c>
      <c r="L181" s="24">
        <f t="shared" si="14"/>
      </c>
      <c r="N181" s="842"/>
    </row>
    <row r="182" spans="1:14" ht="12.75" hidden="1">
      <c r="A182" s="17" t="s">
        <v>12</v>
      </c>
      <c r="B182" s="37" t="s">
        <v>29</v>
      </c>
      <c r="C182" s="18"/>
      <c r="D182" s="19"/>
      <c r="H182" s="20"/>
      <c r="I182" s="21"/>
      <c r="J182" s="21"/>
      <c r="K182" s="23">
        <f t="shared" si="13"/>
      </c>
      <c r="L182" s="24">
        <f t="shared" si="14"/>
      </c>
      <c r="N182" s="839"/>
    </row>
    <row r="183" spans="2:14" ht="12.75" hidden="1">
      <c r="B183" s="25" t="str">
        <f>IF(Fin!B40="","-",Fin!B40)</f>
        <v>AIK-Kredit</v>
      </c>
      <c r="C183" s="18"/>
      <c r="D183" s="26">
        <f>IF('[2]E-Fin'!$G40="","",'[2]E-Fin'!$G40)</f>
        <v>-169.54843418360178</v>
      </c>
      <c r="E183" s="27"/>
      <c r="H183" s="28">
        <f>IF(Fin!$G40="","",Fin!$G40)</f>
        <v>-169.54843418360178</v>
      </c>
      <c r="I183" s="29" t="str">
        <f>IF(AND(D183="",H183=""),"",IF(D183=H183,"Richtig!",IF(H183="","Fehlt","Falsch")))</f>
        <v>Richtig!</v>
      </c>
      <c r="J183" s="30" t="str">
        <f t="shared" si="15"/>
        <v>-</v>
      </c>
      <c r="K183" s="23">
        <f t="shared" si="13"/>
      </c>
      <c r="L183" s="24">
        <f t="shared" si="14"/>
      </c>
      <c r="N183" s="841"/>
    </row>
    <row r="184" spans="2:14" ht="12.75" hidden="1">
      <c r="B184" s="25" t="str">
        <f>IF(Fin!B41="","-",Fin!B41)</f>
        <v>-</v>
      </c>
      <c r="C184" s="18"/>
      <c r="D184" s="26">
        <f>IF('[2]E-Fin'!$G41="","",'[2]E-Fin'!$G41)</f>
      </c>
      <c r="E184" s="27"/>
      <c r="H184" s="28">
        <f>IF(Fin!$G41="","",Fin!$G41)</f>
      </c>
      <c r="I184" s="29">
        <f>IF(AND(D184="",H184=""),"",IF(D184=H184,"Richtig!",IF(H184="","Fehlt","Falsch")))</f>
      </c>
      <c r="J184" s="30" t="str">
        <f t="shared" si="15"/>
        <v>-</v>
      </c>
      <c r="K184" s="23">
        <f t="shared" si="13"/>
      </c>
      <c r="L184" s="24">
        <f t="shared" si="14"/>
      </c>
      <c r="N184" s="841"/>
    </row>
    <row r="185" spans="2:14" ht="12.75" hidden="1">
      <c r="B185" s="25" t="str">
        <f>IF(Fin!B42="","-",Fin!B42)</f>
        <v>-</v>
      </c>
      <c r="C185" s="18"/>
      <c r="D185" s="26">
        <f>IF('[2]E-Fin'!$G42="","",'[2]E-Fin'!$G42)</f>
      </c>
      <c r="E185" s="27"/>
      <c r="H185" s="28">
        <f>IF(Fin!$G42="","",Fin!$G42)</f>
      </c>
      <c r="I185" s="29">
        <f>IF(AND(D185="",H185=""),"",IF(D185=H185,"Richtig!",IF(H185="","Fehlt","Falsch")))</f>
      </c>
      <c r="J185" s="30" t="str">
        <f t="shared" si="15"/>
        <v>-</v>
      </c>
      <c r="K185" s="23">
        <f t="shared" si="13"/>
      </c>
      <c r="L185" s="24">
        <f t="shared" si="14"/>
      </c>
      <c r="N185" s="841"/>
    </row>
    <row r="186" spans="2:14" ht="12.75" hidden="1">
      <c r="B186" s="25" t="str">
        <f>IF(Fin!B43="","-",Fin!B43)</f>
        <v>-</v>
      </c>
      <c r="C186" s="18"/>
      <c r="D186" s="26">
        <f>IF('[2]E-Fin'!$G43="","",'[2]E-Fin'!$G43)</f>
      </c>
      <c r="E186" s="27"/>
      <c r="H186" s="28">
        <f>IF(Fin!$G43="","",Fin!$G43)</f>
      </c>
      <c r="I186" s="29">
        <f>IF(AND(D186="",H186=""),"",IF(D186=H186,"Richtig!",IF(H186="","Fehlt","Falsch")))</f>
      </c>
      <c r="J186" s="30" t="str">
        <f t="shared" si="15"/>
        <v>-</v>
      </c>
      <c r="K186" s="23">
        <f t="shared" si="13"/>
      </c>
      <c r="L186" s="24">
        <f t="shared" si="14"/>
      </c>
      <c r="N186" s="841"/>
    </row>
    <row r="187" spans="2:14" ht="12.75" hidden="1">
      <c r="B187" s="25" t="str">
        <f>IF(Fin!B44="","-",Fin!B44)</f>
        <v>Summe</v>
      </c>
      <c r="C187" s="18"/>
      <c r="D187" s="31">
        <f>IF('[2]E-Fin'!$G44="","",'[2]E-Fin'!$G44)</f>
        <v>-169.54843418360178</v>
      </c>
      <c r="E187" s="27"/>
      <c r="F187" s="32">
        <f>IF(AND(H183="",H184="",H185="",H186=""),"-",SUM(H183:H186))</f>
        <v>-169.54843418360178</v>
      </c>
      <c r="H187" s="33">
        <f>IF(Fin!$G44="","",Fin!$G44)</f>
        <v>-169.54843418360178</v>
      </c>
      <c r="I187" s="29" t="str">
        <f>IF(B187="-","",IF(D187=H187,"Richtig!",IF(AND(D187&lt;&gt;H187,F187=H187),"Formel: OK",IF(H187="","Fehlt","Falsch"))))</f>
        <v>Richtig!</v>
      </c>
      <c r="J187" s="30" t="str">
        <f t="shared" si="15"/>
        <v>-</v>
      </c>
      <c r="K187" s="23">
        <f t="shared" si="13"/>
      </c>
      <c r="L187" s="24">
        <f t="shared" si="14"/>
      </c>
      <c r="N187" s="841"/>
    </row>
    <row r="188" spans="1:14" ht="12.75" customHeight="1" hidden="1">
      <c r="A188" s="18"/>
      <c r="C188" s="18"/>
      <c r="D188" s="34"/>
      <c r="E188" s="27"/>
      <c r="F188" s="27"/>
      <c r="H188" s="35"/>
      <c r="I188" s="29"/>
      <c r="J188" s="29"/>
      <c r="K188" s="23">
        <f t="shared" si="13"/>
      </c>
      <c r="L188" s="24">
        <f t="shared" si="14"/>
      </c>
      <c r="N188" s="842"/>
    </row>
    <row r="189" spans="1:14" ht="22.5">
      <c r="A189" s="10" t="s">
        <v>613</v>
      </c>
      <c r="B189" s="11"/>
      <c r="C189" s="12"/>
      <c r="D189" s="13" t="s">
        <v>4</v>
      </c>
      <c r="E189" s="13"/>
      <c r="F189" s="14" t="s">
        <v>5</v>
      </c>
      <c r="G189" s="12"/>
      <c r="H189" s="14" t="s">
        <v>6</v>
      </c>
      <c r="I189" s="15" t="str">
        <f>"Fehler"</f>
        <v>Fehler</v>
      </c>
      <c r="J189" s="16" t="s">
        <v>7</v>
      </c>
      <c r="K189" s="16"/>
      <c r="L189" s="16"/>
      <c r="N189" s="840" t="str">
        <f>IF($L$1="","",$L$1)</f>
        <v>x</v>
      </c>
    </row>
    <row r="190" spans="1:14" ht="12.75" hidden="1">
      <c r="A190" s="17" t="s">
        <v>30</v>
      </c>
      <c r="B190" s="17"/>
      <c r="C190" s="18"/>
      <c r="D190" s="19"/>
      <c r="H190" s="20"/>
      <c r="I190" s="21"/>
      <c r="J190" s="21"/>
      <c r="K190" s="23">
        <f t="shared" si="13"/>
      </c>
      <c r="L190" s="24">
        <f t="shared" si="14"/>
      </c>
      <c r="N190" s="839"/>
    </row>
    <row r="191" spans="2:14" ht="12.75" hidden="1">
      <c r="B191" s="25" t="s">
        <v>31</v>
      </c>
      <c r="C191" s="18"/>
      <c r="D191" s="26">
        <f>IF('[2]E-Milch'!$F$12="","",'[2]E-Milch'!$F$12)</f>
        <v>2858.620689655172</v>
      </c>
      <c r="E191" s="27"/>
      <c r="F191" s="32">
        <f>IF(OR('[2]E-Milch'!D5="",H192=""),"-",'[2]E-Milch'!D5-H192)</f>
        <v>2858.620689655172</v>
      </c>
      <c r="H191" s="28">
        <f>IF(Milch!$F$12="","",Milch!$F$12)</f>
        <v>2858.620689655172</v>
      </c>
      <c r="I191" s="29" t="str">
        <f>IF(H191=D191,"Richtig!",IF(AND(D192&lt;&gt;"",H191=F191),"Formel: OK",IF(H191="","Fehlt","Falsch")))</f>
        <v>Richtig!</v>
      </c>
      <c r="J191" s="30" t="str">
        <f t="shared" si="15"/>
        <v>-</v>
      </c>
      <c r="K191" s="23">
        <f t="shared" si="13"/>
      </c>
      <c r="L191" s="24">
        <f t="shared" si="14"/>
      </c>
      <c r="N191" s="841"/>
    </row>
    <row r="192" spans="2:14" ht="12.75" hidden="1">
      <c r="B192" s="25" t="s">
        <v>32</v>
      </c>
      <c r="C192" s="18"/>
      <c r="D192" s="26">
        <f>IF('[2]E-Milch'!$H$12="","",'[2]E-Milch'!$H$12)</f>
        <v>1741.3793103448277</v>
      </c>
      <c r="E192" s="27"/>
      <c r="F192" s="27"/>
      <c r="H192" s="28">
        <f>IF(Milch!$H$12="","",Milch!$H$12)</f>
        <v>1741.3793103448277</v>
      </c>
      <c r="I192" s="29" t="str">
        <f>IF(H192=D192,"Richtig!",IF(H192="","Fehlt","Falsch"))</f>
        <v>Richtig!</v>
      </c>
      <c r="J192" s="30" t="str">
        <f t="shared" si="15"/>
        <v>-</v>
      </c>
      <c r="K192" s="23">
        <f t="shared" si="13"/>
      </c>
      <c r="L192" s="24">
        <f t="shared" si="14"/>
      </c>
      <c r="N192" s="841"/>
    </row>
    <row r="193" spans="1:14" ht="12.75" hidden="1">
      <c r="A193" s="18"/>
      <c r="B193" s="18"/>
      <c r="C193" s="18"/>
      <c r="D193" s="34"/>
      <c r="E193" s="27"/>
      <c r="F193" s="27"/>
      <c r="H193" s="35"/>
      <c r="I193" s="29"/>
      <c r="J193" s="29"/>
      <c r="K193" s="23">
        <f t="shared" si="13"/>
      </c>
      <c r="L193" s="24">
        <f t="shared" si="14"/>
      </c>
      <c r="N193" s="842"/>
    </row>
    <row r="194" spans="1:14" ht="12.75" hidden="1">
      <c r="A194" s="17" t="s">
        <v>33</v>
      </c>
      <c r="B194" s="17"/>
      <c r="C194" s="18"/>
      <c r="D194" s="19"/>
      <c r="H194" s="20"/>
      <c r="I194" s="21"/>
      <c r="J194" s="21"/>
      <c r="K194" s="23">
        <f t="shared" si="13"/>
      </c>
      <c r="L194" s="24">
        <f t="shared" si="14"/>
      </c>
      <c r="N194" s="839"/>
    </row>
    <row r="195" spans="1:14" ht="12.75" hidden="1">
      <c r="A195" s="18"/>
      <c r="B195" s="36" t="str">
        <f>IF('[2]E-Milch'!B25="","-",'[2]E-Milch'!B25)</f>
        <v>Butter</v>
      </c>
      <c r="C195" s="18"/>
      <c r="D195" s="26">
        <f>IF('[2]E-Milch'!$C25="","",'[2]E-Milch'!$C25)</f>
        <v>713</v>
      </c>
      <c r="E195" s="27"/>
      <c r="F195" s="27"/>
      <c r="H195" s="28">
        <f>IF(Milch!$C25="","",Milch!$C25)</f>
        <v>713</v>
      </c>
      <c r="I195" s="29" t="str">
        <f aca="true" t="shared" si="17" ref="I195:I200">IF(OR(B195="-",AND(D195="",H195="")),"",IF(H195=D195,"Richtig!",IF(H195="","Fehlt","Falsch")))</f>
        <v>Richtig!</v>
      </c>
      <c r="J195" s="30" t="str">
        <f t="shared" si="15"/>
        <v>-</v>
      </c>
      <c r="K195" s="23">
        <f t="shared" si="13"/>
      </c>
      <c r="L195" s="24">
        <f t="shared" si="14"/>
      </c>
      <c r="N195" s="841"/>
    </row>
    <row r="196" spans="1:14" ht="12.75" hidden="1">
      <c r="A196" s="18"/>
      <c r="B196" s="36" t="str">
        <f>IF('[2]E-Milch'!B26="","-",'[2]E-Milch'!B26)</f>
        <v>Jogurt</v>
      </c>
      <c r="C196" s="18"/>
      <c r="D196" s="26">
        <f>IF('[2]E-Milch'!$C26="","",'[2]E-Milch'!$C26)</f>
        <v>360</v>
      </c>
      <c r="E196" s="27"/>
      <c r="F196" s="27"/>
      <c r="H196" s="28">
        <f>IF(Milch!$C26="","",Milch!$C26)</f>
        <v>360</v>
      </c>
      <c r="I196" s="29" t="str">
        <f t="shared" si="17"/>
        <v>Richtig!</v>
      </c>
      <c r="J196" s="30" t="str">
        <f t="shared" si="15"/>
        <v>-</v>
      </c>
      <c r="K196" s="23">
        <f t="shared" si="13"/>
      </c>
      <c r="L196" s="24">
        <f t="shared" si="14"/>
      </c>
      <c r="N196" s="841"/>
    </row>
    <row r="197" spans="1:14" ht="12.75" hidden="1">
      <c r="A197" s="18"/>
      <c r="B197" s="36" t="str">
        <f>IF('[2]E-Milch'!B27="","-",'[2]E-Milch'!B27)</f>
        <v>Topfen aus Vollmilch</v>
      </c>
      <c r="C197" s="18"/>
      <c r="D197" s="26">
        <f>IF('[2]E-Milch'!$C27="","",'[2]E-Milch'!$C27)</f>
        <v>640</v>
      </c>
      <c r="E197" s="27"/>
      <c r="F197" s="27"/>
      <c r="H197" s="28">
        <f>IF(Milch!$C27="","",Milch!$C27)</f>
        <v>640</v>
      </c>
      <c r="I197" s="29" t="str">
        <f t="shared" si="17"/>
        <v>Richtig!</v>
      </c>
      <c r="J197" s="30" t="str">
        <f t="shared" si="15"/>
        <v>-</v>
      </c>
      <c r="K197" s="23">
        <f t="shared" si="13"/>
      </c>
      <c r="L197" s="24">
        <f t="shared" si="14"/>
      </c>
      <c r="N197" s="841"/>
    </row>
    <row r="198" spans="1:14" ht="12.75" hidden="1">
      <c r="A198" s="18"/>
      <c r="B198" s="36" t="str">
        <f>IF('[2]E-Milch'!B28="","-",'[2]E-Milch'!B28)</f>
        <v>Käse</v>
      </c>
      <c r="C198" s="18"/>
      <c r="D198" s="26">
        <f>IF('[2]E-Milch'!$C28="","",'[2]E-Milch'!$C28)</f>
        <v>127.5</v>
      </c>
      <c r="E198" s="27"/>
      <c r="F198" s="27"/>
      <c r="H198" s="28">
        <f>IF(Milch!$C28="","",Milch!$C28)</f>
        <v>127.5</v>
      </c>
      <c r="I198" s="29" t="str">
        <f t="shared" si="17"/>
        <v>Richtig!</v>
      </c>
      <c r="J198" s="30" t="str">
        <f t="shared" si="15"/>
        <v>-</v>
      </c>
      <c r="K198" s="23">
        <f t="shared" si="13"/>
      </c>
      <c r="L198" s="24">
        <f t="shared" si="14"/>
      </c>
      <c r="N198" s="841"/>
    </row>
    <row r="199" spans="1:14" ht="12.75" hidden="1">
      <c r="A199" s="18"/>
      <c r="B199" s="36" t="str">
        <f>IF('[2]E-Milch'!B29="","-",'[2]E-Milch'!B29)</f>
        <v>-</v>
      </c>
      <c r="C199" s="18"/>
      <c r="D199" s="26">
        <f>IF('[2]E-Milch'!$C29="","",'[2]E-Milch'!$C29)</f>
      </c>
      <c r="E199" s="27"/>
      <c r="F199" s="27"/>
      <c r="H199" s="28">
        <f>IF(Milch!$C29="","",Milch!$C29)</f>
      </c>
      <c r="I199" s="29">
        <f t="shared" si="17"/>
      </c>
      <c r="J199" s="30" t="str">
        <f t="shared" si="15"/>
        <v>-</v>
      </c>
      <c r="K199" s="23">
        <f t="shared" si="13"/>
      </c>
      <c r="L199" s="24">
        <f t="shared" si="14"/>
      </c>
      <c r="N199" s="841"/>
    </row>
    <row r="200" spans="1:14" ht="12.75" hidden="1">
      <c r="A200" s="18"/>
      <c r="B200" s="36" t="str">
        <f>IF('[2]E-Milch'!B30="","-",'[2]E-Milch'!B30)</f>
        <v>-</v>
      </c>
      <c r="C200" s="18"/>
      <c r="D200" s="26">
        <f>IF('[2]E-Milch'!$C30="","",'[2]E-Milch'!$C30)</f>
      </c>
      <c r="E200" s="27"/>
      <c r="F200" s="27"/>
      <c r="H200" s="28">
        <f>IF(Milch!$C30="","",Milch!$C30)</f>
      </c>
      <c r="I200" s="29">
        <f t="shared" si="17"/>
      </c>
      <c r="J200" s="30" t="str">
        <f t="shared" si="15"/>
        <v>-</v>
      </c>
      <c r="K200" s="23">
        <f t="shared" si="13"/>
      </c>
      <c r="L200" s="24">
        <f t="shared" si="14"/>
      </c>
      <c r="N200" s="841"/>
    </row>
    <row r="201" spans="1:14" ht="12.75">
      <c r="A201" s="18"/>
      <c r="B201" s="18"/>
      <c r="C201" s="18"/>
      <c r="D201" s="19"/>
      <c r="H201" s="20"/>
      <c r="I201" s="21"/>
      <c r="J201" s="21"/>
      <c r="K201" s="23">
        <f t="shared" si="13"/>
      </c>
      <c r="L201" s="24">
        <f t="shared" si="14"/>
      </c>
      <c r="N201" s="842" t="str">
        <f aca="true" t="shared" si="18" ref="N201:N207">IF($L$1="","",$L$1)</f>
        <v>x</v>
      </c>
    </row>
    <row r="202" spans="1:14" ht="12.75">
      <c r="A202" s="17" t="s">
        <v>14</v>
      </c>
      <c r="B202" s="17" t="s">
        <v>34</v>
      </c>
      <c r="C202" s="18"/>
      <c r="D202" s="19"/>
      <c r="H202" s="20"/>
      <c r="I202" s="21"/>
      <c r="J202" s="21"/>
      <c r="K202" s="23">
        <f aca="true" t="shared" si="19" ref="K202:K265">IF(L202="","","│")</f>
      </c>
      <c r="L202" s="24">
        <f aca="true" t="shared" si="20" ref="L202:L265">IF(OR(B202="-",N202="",AND(D202="",H202="")),"",1)</f>
      </c>
      <c r="N202" s="839" t="str">
        <f t="shared" si="18"/>
        <v>x</v>
      </c>
    </row>
    <row r="203" spans="1:14" ht="12.75">
      <c r="A203" s="18"/>
      <c r="B203" s="36" t="str">
        <f>IF('[2]E-Milch'!B42="","-",'[2]E-Milch'!B42)</f>
        <v>Molkereigeld</v>
      </c>
      <c r="C203" s="18"/>
      <c r="D203" s="26">
        <f>IF('[2]E-Milch'!$F42="","",'[2]E-Milch'!$F42)</f>
        <v>297.5</v>
      </c>
      <c r="E203" s="27"/>
      <c r="F203" s="27"/>
      <c r="H203" s="28">
        <f>IF(Milch!$F42="","",Milch!$F42)</f>
      </c>
      <c r="I203" s="29" t="str">
        <f aca="true" t="shared" si="21" ref="I203:I212">IF(OR(B203="-",AND(D203="",H203="")),"",IF(H203=D203,"Richtig!",IF(H203="","Fehlt","Falsch")))</f>
        <v>Fehlt</v>
      </c>
      <c r="J203" s="30">
        <f aca="true" t="shared" si="22" ref="J203:J265">IF(OR(B203="-",N203="",AND(D203="",H203="")),"-",IF(I203="Richtig!",1,IF(I203="Formel: OK",0.5,IF(OR(I203="Falsch",I203="Fehlt"),0,""))))</f>
        <v>0</v>
      </c>
      <c r="K203" s="23" t="str">
        <f t="shared" si="19"/>
        <v>│</v>
      </c>
      <c r="L203" s="24">
        <f t="shared" si="20"/>
        <v>1</v>
      </c>
      <c r="N203" s="841" t="str">
        <f t="shared" si="18"/>
        <v>x</v>
      </c>
    </row>
    <row r="204" spans="1:14" ht="12.75">
      <c r="A204" s="18"/>
      <c r="B204" s="36" t="str">
        <f>IF('[2]E-Milch'!B43="","-",'[2]E-Milch'!B43)</f>
        <v>Ab-Hof</v>
      </c>
      <c r="C204" s="18"/>
      <c r="D204" s="26">
        <f>IF('[2]E-Milch'!$F43="","",'[2]E-Milch'!$F43)</f>
        <v>270</v>
      </c>
      <c r="E204" s="27"/>
      <c r="F204" s="27"/>
      <c r="H204" s="28">
        <f>IF(Milch!$F43="","",Milch!$F43)</f>
      </c>
      <c r="I204" s="29" t="str">
        <f t="shared" si="21"/>
        <v>Fehlt</v>
      </c>
      <c r="J204" s="30">
        <f t="shared" si="22"/>
        <v>0</v>
      </c>
      <c r="K204" s="23" t="str">
        <f t="shared" si="19"/>
        <v>│</v>
      </c>
      <c r="L204" s="24">
        <f t="shared" si="20"/>
        <v>1</v>
      </c>
      <c r="N204" s="841" t="str">
        <f t="shared" si="18"/>
        <v>x</v>
      </c>
    </row>
    <row r="205" spans="1:14" ht="12.75">
      <c r="A205" s="18"/>
      <c r="B205" s="36" t="str">
        <f>IF('[2]E-Milch'!B44="","-",'[2]E-Milch'!B44)</f>
        <v>Eigen- u. Gästeverbrauch</v>
      </c>
      <c r="C205" s="18"/>
      <c r="D205" s="26">
        <f>IF('[2]E-Milch'!$F44="","",'[2]E-Milch'!$F44)</f>
        <v>72</v>
      </c>
      <c r="E205" s="27"/>
      <c r="F205" s="27"/>
      <c r="H205" s="28">
        <f>IF(Milch!$F44="","",Milch!$F44)</f>
      </c>
      <c r="I205" s="29" t="str">
        <f t="shared" si="21"/>
        <v>Fehlt</v>
      </c>
      <c r="J205" s="30">
        <f t="shared" si="22"/>
        <v>0</v>
      </c>
      <c r="K205" s="23" t="str">
        <f t="shared" si="19"/>
        <v>│</v>
      </c>
      <c r="L205" s="24">
        <f t="shared" si="20"/>
        <v>1</v>
      </c>
      <c r="N205" s="841" t="str">
        <f t="shared" si="18"/>
        <v>x</v>
      </c>
    </row>
    <row r="206" spans="1:14" ht="12.75">
      <c r="A206" s="18"/>
      <c r="B206" s="36" t="str">
        <f>IF('[2]E-Milch'!B45="","-",'[2]E-Milch'!B45)</f>
        <v>Butter</v>
      </c>
      <c r="C206" s="18"/>
      <c r="D206" s="26">
        <f>IF('[2]E-Milch'!$F45="","",'[2]E-Milch'!$F45)</f>
        <v>186</v>
      </c>
      <c r="E206" s="27"/>
      <c r="F206" s="27"/>
      <c r="H206" s="28">
        <f>IF(Milch!$F45="","",Milch!$F45)</f>
      </c>
      <c r="I206" s="29" t="str">
        <f t="shared" si="21"/>
        <v>Fehlt</v>
      </c>
      <c r="J206" s="30">
        <f t="shared" si="22"/>
        <v>0</v>
      </c>
      <c r="K206" s="23" t="str">
        <f t="shared" si="19"/>
        <v>│</v>
      </c>
      <c r="L206" s="24">
        <f t="shared" si="20"/>
        <v>1</v>
      </c>
      <c r="N206" s="841" t="str">
        <f t="shared" si="18"/>
        <v>x</v>
      </c>
    </row>
    <row r="207" spans="1:14" ht="12.75">
      <c r="A207" s="18"/>
      <c r="B207" s="36" t="str">
        <f>IF('[2]E-Milch'!B46="","-",'[2]E-Milch'!B46)</f>
        <v>Jogurt</v>
      </c>
      <c r="C207" s="18"/>
      <c r="D207" s="26">
        <f>IF('[2]E-Milch'!$F46="","",'[2]E-Milch'!$F46)</f>
        <v>396.00000000000006</v>
      </c>
      <c r="E207" s="27"/>
      <c r="F207" s="27"/>
      <c r="H207" s="28">
        <f>IF(Milch!$F46="","",Milch!$F46)</f>
      </c>
      <c r="I207" s="29" t="str">
        <f t="shared" si="21"/>
        <v>Fehlt</v>
      </c>
      <c r="J207" s="30">
        <f t="shared" si="22"/>
        <v>0</v>
      </c>
      <c r="K207" s="23" t="str">
        <f t="shared" si="19"/>
        <v>│</v>
      </c>
      <c r="L207" s="24">
        <f t="shared" si="20"/>
        <v>1</v>
      </c>
      <c r="N207" s="841" t="str">
        <f t="shared" si="18"/>
        <v>x</v>
      </c>
    </row>
    <row r="208" spans="1:14" ht="12.75" hidden="1">
      <c r="A208" s="18"/>
      <c r="B208" s="36" t="str">
        <f>IF('[2]E-Milch'!B47="","-",'[2]E-Milch'!B47)</f>
        <v>Topfen aus Vollmilch</v>
      </c>
      <c r="C208" s="18"/>
      <c r="D208" s="26">
        <f>IF('[2]E-Milch'!$F47="","",'[2]E-Milch'!$F47)</f>
        <v>184</v>
      </c>
      <c r="E208" s="27"/>
      <c r="F208" s="27"/>
      <c r="H208" s="28">
        <f>IF(Milch!$F47="","",Milch!$F47)</f>
      </c>
      <c r="I208" s="29" t="str">
        <f t="shared" si="21"/>
        <v>Fehlt</v>
      </c>
      <c r="J208" s="30" t="str">
        <f t="shared" si="22"/>
        <v>-</v>
      </c>
      <c r="K208" s="23">
        <f t="shared" si="19"/>
      </c>
      <c r="L208" s="24">
        <f t="shared" si="20"/>
      </c>
      <c r="N208" s="841"/>
    </row>
    <row r="209" spans="1:14" ht="12.75">
      <c r="A209" s="18"/>
      <c r="B209" s="36" t="str">
        <f>IF('[2]E-Milch'!B48="","-",'[2]E-Milch'!B48)</f>
        <v>Käse</v>
      </c>
      <c r="C209" s="18"/>
      <c r="D209" s="26">
        <f>IF('[2]E-Milch'!$F48="","",'[2]E-Milch'!$F48)</f>
        <v>129</v>
      </c>
      <c r="E209" s="27"/>
      <c r="F209" s="27"/>
      <c r="H209" s="28">
        <f>IF(Milch!$F48="","",Milch!$F48)</f>
      </c>
      <c r="I209" s="29" t="str">
        <f t="shared" si="21"/>
        <v>Fehlt</v>
      </c>
      <c r="J209" s="30">
        <f t="shared" si="22"/>
        <v>0</v>
      </c>
      <c r="K209" s="23" t="str">
        <f t="shared" si="19"/>
        <v>│</v>
      </c>
      <c r="L209" s="24">
        <f t="shared" si="20"/>
        <v>1</v>
      </c>
      <c r="N209" s="841" t="str">
        <f>IF($L$1="","",$L$1)</f>
        <v>x</v>
      </c>
    </row>
    <row r="210" spans="1:14" ht="12.75" hidden="1">
      <c r="A210" s="18"/>
      <c r="B210" s="36" t="str">
        <f>IF('[2]E-Milch'!B49="","-",'[2]E-Milch'!B49)</f>
        <v>-</v>
      </c>
      <c r="C210" s="18"/>
      <c r="D210" s="26">
        <f>IF('[2]E-Milch'!$F49="","",'[2]E-Milch'!$F49)</f>
      </c>
      <c r="E210" s="27"/>
      <c r="F210" s="27"/>
      <c r="H210" s="28">
        <f>IF(Milch!$F49="","",Milch!$F49)</f>
      </c>
      <c r="I210" s="29">
        <f t="shared" si="21"/>
      </c>
      <c r="J210" s="30" t="str">
        <f t="shared" si="22"/>
        <v>-</v>
      </c>
      <c r="K210" s="23">
        <f t="shared" si="19"/>
      </c>
      <c r="L210" s="24">
        <f t="shared" si="20"/>
      </c>
      <c r="N210" s="841"/>
    </row>
    <row r="211" spans="1:14" ht="12.75" hidden="1">
      <c r="A211" s="18"/>
      <c r="B211" s="36" t="str">
        <f>IF('[2]E-Milch'!B50="","-",'[2]E-Milch'!B50)</f>
        <v>-</v>
      </c>
      <c r="C211" s="18"/>
      <c r="D211" s="26">
        <f>IF('[2]E-Milch'!$F50="","",'[2]E-Milch'!$F50)</f>
      </c>
      <c r="E211" s="27"/>
      <c r="F211" s="27"/>
      <c r="H211" s="28">
        <f>IF(Milch!$F50="","",Milch!$F50)</f>
      </c>
      <c r="I211" s="29">
        <f t="shared" si="21"/>
      </c>
      <c r="J211" s="30" t="str">
        <f t="shared" si="22"/>
        <v>-</v>
      </c>
      <c r="K211" s="23">
        <f t="shared" si="19"/>
      </c>
      <c r="L211" s="24">
        <f t="shared" si="20"/>
      </c>
      <c r="N211" s="841"/>
    </row>
    <row r="212" spans="1:14" ht="12.75" hidden="1">
      <c r="A212" s="18"/>
      <c r="B212" s="36" t="str">
        <f>IF('[2]E-Milch'!B51="","-",'[2]E-Milch'!B51)</f>
        <v>Magermilch</v>
      </c>
      <c r="C212" s="18"/>
      <c r="D212" s="26">
        <f>IF('[2]E-Milch'!$F51="","",'[2]E-Milch'!$F51)</f>
        <v>15.946666666666667</v>
      </c>
      <c r="E212" s="27"/>
      <c r="F212" s="27"/>
      <c r="H212" s="28">
        <f>IF(Milch!$F51="","",Milch!$F51)</f>
      </c>
      <c r="I212" s="29" t="str">
        <f t="shared" si="21"/>
        <v>Fehlt</v>
      </c>
      <c r="J212" s="30" t="str">
        <f t="shared" si="22"/>
        <v>-</v>
      </c>
      <c r="K212" s="23">
        <f t="shared" si="19"/>
      </c>
      <c r="L212" s="24">
        <f t="shared" si="20"/>
      </c>
      <c r="N212" s="841"/>
    </row>
    <row r="213" spans="1:14" ht="12.75">
      <c r="A213" s="18"/>
      <c r="B213" s="36" t="str">
        <f>IF('[2]E-Milch'!B52="","-",'[2]E-Milch'!B52)</f>
        <v>Summe Milcherlös</v>
      </c>
      <c r="C213" s="18"/>
      <c r="D213" s="31">
        <f>IF('[2]E-Milch'!$F52="","",'[2]E-Milch'!$F52)</f>
        <v>1550.4466666666667</v>
      </c>
      <c r="E213" s="27"/>
      <c r="F213" s="32">
        <f>SUM(H203:H212)</f>
        <v>0</v>
      </c>
      <c r="H213" s="33">
        <f>IF(Milch!$F52="","",Milch!$F52)</f>
      </c>
      <c r="I213" s="29" t="str">
        <f>IF(B213="-","",IF(H213=D213,"Richtig!",IF(AND(D213&lt;&gt;H213,F213=H213),"Formel: OK",IF(H213="","Fehlt","Falsch"))))</f>
        <v>Fehlt</v>
      </c>
      <c r="J213" s="30">
        <f t="shared" si="22"/>
        <v>0</v>
      </c>
      <c r="K213" s="23" t="str">
        <f t="shared" si="19"/>
        <v>│</v>
      </c>
      <c r="L213" s="24">
        <f t="shared" si="20"/>
        <v>1</v>
      </c>
      <c r="N213" s="841" t="str">
        <f>IF($L$1="","",$L$1)</f>
        <v>x</v>
      </c>
    </row>
    <row r="214" spans="1:14" ht="12.75" hidden="1">
      <c r="A214" s="18"/>
      <c r="B214" s="36" t="str">
        <f>IF('[2]E-Milch'!B53="","-",'[2]E-Milch'!B53)</f>
        <v>Altkuherlös</v>
      </c>
      <c r="C214" s="18"/>
      <c r="D214" s="26">
        <f>IF('[2]E-Milch'!$F53="","",'[2]E-Milch'!$F53)</f>
        <v>55</v>
      </c>
      <c r="E214" s="27"/>
      <c r="F214" s="27"/>
      <c r="H214" s="28">
        <f>IF(Milch!$F53="","",Milch!$F53)</f>
        <v>55.00000000000001</v>
      </c>
      <c r="I214" s="29" t="str">
        <f>IF(B214="-","",IF(H214=D214,"Richtig!",IF(H214="","Fehlt","Falsch")))</f>
        <v>Richtig!</v>
      </c>
      <c r="J214" s="30" t="str">
        <f t="shared" si="22"/>
        <v>-</v>
      </c>
      <c r="K214" s="23">
        <f t="shared" si="19"/>
      </c>
      <c r="L214" s="24">
        <f t="shared" si="20"/>
      </c>
      <c r="N214" s="841"/>
    </row>
    <row r="215" spans="1:14" ht="12.75" hidden="1">
      <c r="A215" s="18"/>
      <c r="B215" s="36" t="str">
        <f>IF('[2]E-Milch'!B54="","-",'[2]E-Milch'!B54)</f>
        <v>Kälbererlös</v>
      </c>
      <c r="C215" s="18"/>
      <c r="D215" s="26">
        <f>IF('[2]E-Milch'!$F54="","",'[2]E-Milch'!$F54)</f>
        <v>241.65</v>
      </c>
      <c r="E215" s="27"/>
      <c r="F215" s="27"/>
      <c r="H215" s="28">
        <f>IF(Milch!$F54="","",Milch!$F54)</f>
        <v>241.65</v>
      </c>
      <c r="I215" s="29" t="str">
        <f>IF(B215="-","",IF(H215=D215,"Richtig!",IF(H215="","Fehlt","Falsch")))</f>
        <v>Richtig!</v>
      </c>
      <c r="J215" s="30" t="str">
        <f t="shared" si="22"/>
        <v>-</v>
      </c>
      <c r="K215" s="23">
        <f t="shared" si="19"/>
      </c>
      <c r="L215" s="24">
        <f t="shared" si="20"/>
      </c>
      <c r="N215" s="841"/>
    </row>
    <row r="216" spans="1:14" ht="12.75">
      <c r="A216" s="18"/>
      <c r="B216" s="36" t="str">
        <f>IF('[2]E-Milch'!B55="","-",'[2]E-Milch'!B55)</f>
        <v>SUMME ROHERTRAG</v>
      </c>
      <c r="C216" s="18"/>
      <c r="D216" s="31">
        <f>IF('[2]E-Milch'!$F55="","",'[2]E-Milch'!$F55)</f>
        <v>1847.0966666666668</v>
      </c>
      <c r="E216" s="27"/>
      <c r="F216" s="32">
        <f>SUM(F213,H214:H215)</f>
        <v>296.65000000000003</v>
      </c>
      <c r="H216" s="33">
        <f>IF(Milch!$F55="","",Milch!$F55)</f>
      </c>
      <c r="I216" s="29" t="str">
        <f>IF(B216="-","",IF(H216=D216,"Richtig!",IF(AND(D216&lt;&gt;H216,F216=H216),"Formel: OK",IF(H216="","Fehlt","Falsch"))))</f>
        <v>Fehlt</v>
      </c>
      <c r="J216" s="30">
        <f t="shared" si="22"/>
        <v>0</v>
      </c>
      <c r="K216" s="23" t="str">
        <f t="shared" si="19"/>
        <v>│</v>
      </c>
      <c r="L216" s="24">
        <f t="shared" si="20"/>
        <v>1</v>
      </c>
      <c r="N216" s="841" t="str">
        <f>IF($L$1="","",$L$1)</f>
        <v>x</v>
      </c>
    </row>
    <row r="217" spans="1:14" ht="12.75">
      <c r="A217" s="18"/>
      <c r="B217" s="18"/>
      <c r="C217" s="18"/>
      <c r="D217" s="19"/>
      <c r="H217" s="20"/>
      <c r="I217" s="21"/>
      <c r="J217" s="21"/>
      <c r="K217" s="23">
        <f t="shared" si="19"/>
      </c>
      <c r="L217" s="24">
        <f t="shared" si="20"/>
      </c>
      <c r="N217" s="842" t="str">
        <f>IF($L$1="","",$L$1)</f>
        <v>x</v>
      </c>
    </row>
    <row r="218" spans="1:14" ht="12.75">
      <c r="A218" s="17" t="s">
        <v>17</v>
      </c>
      <c r="B218" s="17" t="s">
        <v>35</v>
      </c>
      <c r="C218" s="18"/>
      <c r="D218" s="19"/>
      <c r="H218" s="20"/>
      <c r="I218" s="21"/>
      <c r="J218" s="21"/>
      <c r="K218" s="23">
        <f t="shared" si="19"/>
      </c>
      <c r="L218" s="24">
        <f t="shared" si="20"/>
      </c>
      <c r="N218" s="839" t="str">
        <f>IF($L$1="","",$L$1)</f>
        <v>x</v>
      </c>
    </row>
    <row r="219" spans="1:14" ht="12.75" hidden="1">
      <c r="A219" s="18"/>
      <c r="B219" s="36" t="str">
        <f>IF('[2]E-Milch'!B59="","-",'[2]E-Milch'!B59)</f>
        <v>Bestandesergänzung</v>
      </c>
      <c r="C219" s="18"/>
      <c r="D219" s="26">
        <f>IF('[2]E-Milch'!$F59="","",'[2]E-Milch'!$F59)</f>
        <v>131.5</v>
      </c>
      <c r="E219" s="27"/>
      <c r="F219" s="27"/>
      <c r="H219" s="28">
        <f>IF(Milch!$F59="","",Milch!$F59)</f>
        <v>131.5</v>
      </c>
      <c r="I219" s="29" t="str">
        <f aca="true" t="shared" si="23" ref="I219:I232">IF(OR(B219="-",AND(D219="",H219="")),"",IF(H219=D219,"Richtig!",IF(H219="","Fehlt","Falsch")))</f>
        <v>Richtig!</v>
      </c>
      <c r="J219" s="30" t="str">
        <f t="shared" si="22"/>
        <v>-</v>
      </c>
      <c r="K219" s="23">
        <f t="shared" si="19"/>
      </c>
      <c r="L219" s="24">
        <f t="shared" si="20"/>
      </c>
      <c r="N219" s="841"/>
    </row>
    <row r="220" spans="1:14" ht="12.75">
      <c r="A220" s="18"/>
      <c r="B220" s="36" t="str">
        <f>IF('[2]E-Milch'!B60="","-",'[2]E-Milch'!B60)</f>
        <v>KF</v>
      </c>
      <c r="C220" s="18"/>
      <c r="D220" s="26">
        <f>IF('[2]E-Milch'!$F60="","",'[2]E-Milch'!$F60)</f>
        <v>404</v>
      </c>
      <c r="E220" s="27"/>
      <c r="F220" s="27"/>
      <c r="H220" s="28">
        <f>IF(Milch!$F60="","",Milch!$F60)</f>
      </c>
      <c r="I220" s="29" t="str">
        <f t="shared" si="23"/>
        <v>Fehlt</v>
      </c>
      <c r="J220" s="30">
        <f t="shared" si="22"/>
        <v>0</v>
      </c>
      <c r="K220" s="23" t="str">
        <f t="shared" si="19"/>
        <v>│</v>
      </c>
      <c r="L220" s="24">
        <f t="shared" si="20"/>
        <v>1</v>
      </c>
      <c r="N220" s="841" t="str">
        <f aca="true" t="shared" si="24" ref="N220:N237">IF($L$1="","",$L$1)</f>
        <v>x</v>
      </c>
    </row>
    <row r="221" spans="1:14" ht="12.75">
      <c r="A221" s="18"/>
      <c r="B221" s="36" t="str">
        <f>IF('[2]E-Milch'!B61="","-",'[2]E-Milch'!B61)</f>
        <v>Mineralstoffmischung</v>
      </c>
      <c r="C221" s="18"/>
      <c r="D221" s="26">
        <f>IF('[2]E-Milch'!$F61="","",'[2]E-Milch'!$F61)</f>
        <v>30.38</v>
      </c>
      <c r="E221" s="27"/>
      <c r="F221" s="27"/>
      <c r="H221" s="28">
        <f>IF(Milch!$F61="","",Milch!$F61)</f>
      </c>
      <c r="I221" s="29" t="str">
        <f t="shared" si="23"/>
        <v>Fehlt</v>
      </c>
      <c r="J221" s="30">
        <f t="shared" si="22"/>
        <v>0</v>
      </c>
      <c r="K221" s="23" t="str">
        <f t="shared" si="19"/>
        <v>│</v>
      </c>
      <c r="L221" s="24">
        <f t="shared" si="20"/>
        <v>1</v>
      </c>
      <c r="N221" s="841" t="str">
        <f t="shared" si="24"/>
        <v>x</v>
      </c>
    </row>
    <row r="222" spans="1:14" ht="12.75">
      <c r="A222" s="18"/>
      <c r="B222" s="36" t="str">
        <f>IF('[2]E-Milch'!B62="","-",'[2]E-Milch'!B62)</f>
        <v>Tierarzt</v>
      </c>
      <c r="C222" s="18"/>
      <c r="D222" s="26">
        <f>IF('[2]E-Milch'!$F62="","",'[2]E-Milch'!$F62)</f>
        <v>60</v>
      </c>
      <c r="E222" s="27"/>
      <c r="F222" s="27"/>
      <c r="H222" s="28">
        <f>IF(Milch!$F62="","",Milch!$F62)</f>
      </c>
      <c r="I222" s="29" t="str">
        <f t="shared" si="23"/>
        <v>Fehlt</v>
      </c>
      <c r="J222" s="30">
        <f t="shared" si="22"/>
        <v>0</v>
      </c>
      <c r="K222" s="23" t="str">
        <f t="shared" si="19"/>
        <v>│</v>
      </c>
      <c r="L222" s="24">
        <f t="shared" si="20"/>
        <v>1</v>
      </c>
      <c r="N222" s="841" t="str">
        <f t="shared" si="24"/>
        <v>x</v>
      </c>
    </row>
    <row r="223" spans="1:14" ht="12.75">
      <c r="A223" s="18"/>
      <c r="B223" s="36" t="str">
        <f>IF('[2]E-Milch'!B63="","-",'[2]E-Milch'!B63)</f>
        <v>Deckgeld</v>
      </c>
      <c r="C223" s="18"/>
      <c r="D223" s="26">
        <f>IF('[2]E-Milch'!$F63="","",'[2]E-Milch'!$F63)</f>
        <v>35</v>
      </c>
      <c r="E223" s="27"/>
      <c r="F223" s="27"/>
      <c r="H223" s="28">
        <f>IF(Milch!$F63="","",Milch!$F63)</f>
      </c>
      <c r="I223" s="29" t="str">
        <f t="shared" si="23"/>
        <v>Fehlt</v>
      </c>
      <c r="J223" s="30">
        <f t="shared" si="22"/>
        <v>0</v>
      </c>
      <c r="K223" s="23" t="str">
        <f t="shared" si="19"/>
        <v>│</v>
      </c>
      <c r="L223" s="24">
        <f t="shared" si="20"/>
        <v>1</v>
      </c>
      <c r="N223" s="841" t="str">
        <f t="shared" si="24"/>
        <v>x</v>
      </c>
    </row>
    <row r="224" spans="1:14" ht="12.75">
      <c r="A224" s="18"/>
      <c r="B224" s="36" t="str">
        <f>IF('[2]E-Milch'!B64="","-",'[2]E-Milch'!B64)</f>
        <v>Kontrollgebühren</v>
      </c>
      <c r="C224" s="18"/>
      <c r="D224" s="26">
        <f>IF('[2]E-Milch'!$F64="","",'[2]E-Milch'!$F64)</f>
        <v>9</v>
      </c>
      <c r="E224" s="27"/>
      <c r="F224" s="27"/>
      <c r="H224" s="28">
        <f>IF(Milch!$F64="","",Milch!$F64)</f>
      </c>
      <c r="I224" s="29" t="str">
        <f t="shared" si="23"/>
        <v>Fehlt</v>
      </c>
      <c r="J224" s="30">
        <f t="shared" si="22"/>
        <v>0</v>
      </c>
      <c r="K224" s="23" t="str">
        <f t="shared" si="19"/>
        <v>│</v>
      </c>
      <c r="L224" s="24">
        <f t="shared" si="20"/>
        <v>1</v>
      </c>
      <c r="N224" s="841" t="str">
        <f t="shared" si="24"/>
        <v>x</v>
      </c>
    </row>
    <row r="225" spans="1:14" ht="12.75">
      <c r="A225" s="18"/>
      <c r="B225" s="36" t="str">
        <f>IF('[2]E-Milch'!B65="","-",'[2]E-Milch'!B65)</f>
        <v>Versicherung</v>
      </c>
      <c r="C225" s="18"/>
      <c r="D225" s="26">
        <f>IF('[2]E-Milch'!$F65="","",'[2]E-Milch'!$F65)</f>
        <v>21</v>
      </c>
      <c r="E225" s="27"/>
      <c r="F225" s="27"/>
      <c r="H225" s="28">
        <f>IF(Milch!$F65="","",Milch!$F65)</f>
      </c>
      <c r="I225" s="29" t="str">
        <f t="shared" si="23"/>
        <v>Fehlt</v>
      </c>
      <c r="J225" s="30">
        <f t="shared" si="22"/>
        <v>0</v>
      </c>
      <c r="K225" s="23" t="str">
        <f t="shared" si="19"/>
        <v>│</v>
      </c>
      <c r="L225" s="24">
        <f t="shared" si="20"/>
        <v>1</v>
      </c>
      <c r="N225" s="841" t="str">
        <f t="shared" si="24"/>
        <v>x</v>
      </c>
    </row>
    <row r="226" spans="1:14" ht="12.75">
      <c r="A226" s="18"/>
      <c r="B226" s="36" t="str">
        <f>IF('[2]E-Milch'!B66="","-",'[2]E-Milch'!B66)</f>
        <v>Alpung</v>
      </c>
      <c r="C226" s="18"/>
      <c r="D226" s="26">
        <f>IF('[2]E-Milch'!$F66="","",'[2]E-Milch'!$F66)</f>
        <v>90</v>
      </c>
      <c r="E226" s="27"/>
      <c r="F226" s="27"/>
      <c r="H226" s="28">
        <f>IF(Milch!$F66="","",Milch!$F66)</f>
      </c>
      <c r="I226" s="29" t="str">
        <f t="shared" si="23"/>
        <v>Fehlt</v>
      </c>
      <c r="J226" s="30">
        <f t="shared" si="22"/>
        <v>0</v>
      </c>
      <c r="K226" s="23" t="str">
        <f t="shared" si="19"/>
        <v>│</v>
      </c>
      <c r="L226" s="24">
        <f t="shared" si="20"/>
        <v>1</v>
      </c>
      <c r="N226" s="841" t="str">
        <f t="shared" si="24"/>
        <v>x</v>
      </c>
    </row>
    <row r="227" spans="1:14" ht="12.75">
      <c r="A227" s="18"/>
      <c r="B227" s="36" t="str">
        <f>IF('[2]E-Milch'!B67="","-",'[2]E-Milch'!B67)</f>
        <v>Energie</v>
      </c>
      <c r="C227" s="18"/>
      <c r="D227" s="26">
        <f>IF('[2]E-Milch'!$F67="","",'[2]E-Milch'!$F67)</f>
        <v>25</v>
      </c>
      <c r="E227" s="27"/>
      <c r="F227" s="27"/>
      <c r="H227" s="28">
        <f>IF(Milch!$F67="","",Milch!$F67)</f>
      </c>
      <c r="I227" s="29" t="str">
        <f t="shared" si="23"/>
        <v>Fehlt</v>
      </c>
      <c r="J227" s="30">
        <f t="shared" si="22"/>
        <v>0</v>
      </c>
      <c r="K227" s="23" t="str">
        <f t="shared" si="19"/>
        <v>│</v>
      </c>
      <c r="L227" s="24">
        <f t="shared" si="20"/>
        <v>1</v>
      </c>
      <c r="N227" s="841" t="str">
        <f t="shared" si="24"/>
        <v>x</v>
      </c>
    </row>
    <row r="228" spans="1:14" ht="12.75">
      <c r="A228" s="18"/>
      <c r="B228" s="36" t="str">
        <f>IF('[2]E-Milch'!B68="","-",'[2]E-Milch'!B68)</f>
        <v>Einstreu</v>
      </c>
      <c r="C228" s="18"/>
      <c r="D228" s="26">
        <f>IF('[2]E-Milch'!$F68="","",'[2]E-Milch'!$F68)</f>
        <v>61.6</v>
      </c>
      <c r="E228" s="27"/>
      <c r="F228" s="27"/>
      <c r="H228" s="28">
        <f>IF(Milch!$F68="","",Milch!$F68)</f>
      </c>
      <c r="I228" s="29" t="str">
        <f t="shared" si="23"/>
        <v>Fehlt</v>
      </c>
      <c r="J228" s="30">
        <f t="shared" si="22"/>
        <v>0</v>
      </c>
      <c r="K228" s="23" t="str">
        <f t="shared" si="19"/>
        <v>│</v>
      </c>
      <c r="L228" s="24">
        <f t="shared" si="20"/>
        <v>1</v>
      </c>
      <c r="N228" s="841" t="str">
        <f t="shared" si="24"/>
        <v>x</v>
      </c>
    </row>
    <row r="229" spans="1:14" ht="12.75">
      <c r="A229" s="18"/>
      <c r="B229" s="36" t="str">
        <f>IF('[2]E-Milch'!B69="","-",'[2]E-Milch'!B69)</f>
        <v>Vermarktungs-/Verarbeitungskosten</v>
      </c>
      <c r="C229" s="18"/>
      <c r="D229" s="26">
        <f>IF('[2]E-Milch'!$F69="","",'[2]E-Milch'!$F69)</f>
        <v>120.6</v>
      </c>
      <c r="E229" s="27"/>
      <c r="F229" s="27"/>
      <c r="H229" s="28">
        <f>IF(Milch!$F69="","",Milch!$F69)</f>
      </c>
      <c r="I229" s="29" t="str">
        <f t="shared" si="23"/>
        <v>Fehlt</v>
      </c>
      <c r="J229" s="30">
        <f t="shared" si="22"/>
        <v>0</v>
      </c>
      <c r="K229" s="23" t="str">
        <f t="shared" si="19"/>
        <v>│</v>
      </c>
      <c r="L229" s="24">
        <f t="shared" si="20"/>
        <v>1</v>
      </c>
      <c r="N229" s="841" t="str">
        <f t="shared" si="24"/>
        <v>x</v>
      </c>
    </row>
    <row r="230" spans="1:14" ht="12.75">
      <c r="A230" s="18"/>
      <c r="B230" s="36" t="str">
        <f>IF('[2]E-Milch'!B70="","-",'[2]E-Milch'!B70)</f>
        <v>Verpackung/Etik. - in €/kg Produktion</v>
      </c>
      <c r="C230" s="18"/>
      <c r="D230" s="26">
        <f>IF('[2]E-Milch'!$F70="","",'[2]E-Milch'!$F70)</f>
        <v>15.149999999999999</v>
      </c>
      <c r="E230" s="27"/>
      <c r="F230" s="27"/>
      <c r="H230" s="28">
        <f>IF(Milch!$F70="","",Milch!$F70)</f>
      </c>
      <c r="I230" s="29" t="str">
        <f t="shared" si="23"/>
        <v>Fehlt</v>
      </c>
      <c r="J230" s="30">
        <f t="shared" si="22"/>
        <v>0</v>
      </c>
      <c r="K230" s="23" t="str">
        <f t="shared" si="19"/>
        <v>│</v>
      </c>
      <c r="L230" s="24">
        <f t="shared" si="20"/>
        <v>1</v>
      </c>
      <c r="N230" s="841" t="str">
        <f t="shared" si="24"/>
        <v>x</v>
      </c>
    </row>
    <row r="231" spans="1:14" ht="12.75">
      <c r="A231" s="18"/>
      <c r="B231" s="36" t="str">
        <f>IF('[2]E-Milch'!B71="","-",'[2]E-Milch'!B71)</f>
        <v>Reinigung und Energie</v>
      </c>
      <c r="C231" s="18"/>
      <c r="D231" s="26">
        <f>IF('[2]E-Milch'!$F71="","",'[2]E-Milch'!$F71)</f>
        <v>72.5</v>
      </c>
      <c r="E231" s="27"/>
      <c r="F231" s="27"/>
      <c r="H231" s="28">
        <f>IF(Milch!$F71="","",Milch!$F71)</f>
      </c>
      <c r="I231" s="29" t="str">
        <f t="shared" si="23"/>
        <v>Fehlt</v>
      </c>
      <c r="J231" s="30">
        <f t="shared" si="22"/>
        <v>0</v>
      </c>
      <c r="K231" s="23" t="str">
        <f t="shared" si="19"/>
        <v>│</v>
      </c>
      <c r="L231" s="24">
        <f t="shared" si="20"/>
        <v>1</v>
      </c>
      <c r="N231" s="841" t="str">
        <f t="shared" si="24"/>
        <v>x</v>
      </c>
    </row>
    <row r="232" spans="1:14" ht="12.75">
      <c r="A232" s="18"/>
      <c r="B232" s="36" t="str">
        <f>IF('[2]E-Milch'!B72="","-",'[2]E-Milch'!B72)</f>
        <v>Zuteilbare FK Butterfass, Zentrifuge</v>
      </c>
      <c r="C232" s="18"/>
      <c r="D232" s="26">
        <f>IF('[2]E-Milch'!$F72="","",'[2]E-Milch'!$F72)</f>
        <v>175</v>
      </c>
      <c r="E232" s="27"/>
      <c r="F232" s="27"/>
      <c r="H232" s="28">
        <f>IF(Milch!$F72="","",Milch!$F72)</f>
      </c>
      <c r="I232" s="29" t="str">
        <f t="shared" si="23"/>
        <v>Fehlt</v>
      </c>
      <c r="J232" s="30">
        <f t="shared" si="22"/>
        <v>0</v>
      </c>
      <c r="K232" s="23" t="str">
        <f t="shared" si="19"/>
        <v>│</v>
      </c>
      <c r="L232" s="24">
        <f t="shared" si="20"/>
        <v>1</v>
      </c>
      <c r="N232" s="841" t="str">
        <f t="shared" si="24"/>
        <v>x</v>
      </c>
    </row>
    <row r="233" spans="1:14" ht="12.75">
      <c r="A233" s="18"/>
      <c r="B233" s="36" t="str">
        <f>IF('[2]E-Milch'!B73="","-",'[2]E-Milch'!B73)</f>
        <v>SUMME VK</v>
      </c>
      <c r="C233" s="18"/>
      <c r="D233" s="31">
        <f>IF('[2]E-Milch'!$F73="","",'[2]E-Milch'!$F73)</f>
        <v>1250.73</v>
      </c>
      <c r="E233" s="27"/>
      <c r="F233" s="32">
        <f>SUM(H219:H232)</f>
        <v>131.5</v>
      </c>
      <c r="H233" s="33">
        <f>IF(Milch!$F73="","",Milch!$F73)</f>
      </c>
      <c r="I233" s="29" t="str">
        <f>IF(B233="-","",IF(H233=D233,"Richtig!",IF(AND(D233&lt;&gt;H233,F233=H233),"Formel: OK",IF(H233="","Fehlt","Falsch"))))</f>
        <v>Fehlt</v>
      </c>
      <c r="J233" s="30">
        <f t="shared" si="22"/>
        <v>0</v>
      </c>
      <c r="K233" s="23" t="str">
        <f t="shared" si="19"/>
        <v>│</v>
      </c>
      <c r="L233" s="24">
        <f t="shared" si="20"/>
        <v>1</v>
      </c>
      <c r="N233" s="841" t="str">
        <f t="shared" si="24"/>
        <v>x</v>
      </c>
    </row>
    <row r="234" spans="1:14" ht="12.75">
      <c r="A234" s="18"/>
      <c r="B234" s="18"/>
      <c r="C234" s="18"/>
      <c r="D234" s="19"/>
      <c r="H234" s="20"/>
      <c r="I234" s="21"/>
      <c r="J234" s="21"/>
      <c r="K234" s="23">
        <f t="shared" si="19"/>
      </c>
      <c r="L234" s="24">
        <f t="shared" si="20"/>
      </c>
      <c r="N234" s="842" t="str">
        <f t="shared" si="24"/>
        <v>x</v>
      </c>
    </row>
    <row r="235" spans="1:14" ht="12.75">
      <c r="A235" s="17" t="s">
        <v>19</v>
      </c>
      <c r="B235" s="17" t="s">
        <v>36</v>
      </c>
      <c r="C235" s="18"/>
      <c r="D235" s="19"/>
      <c r="H235" s="20"/>
      <c r="I235" s="21"/>
      <c r="J235" s="21"/>
      <c r="K235" s="23">
        <f t="shared" si="19"/>
      </c>
      <c r="L235" s="24">
        <f t="shared" si="20"/>
      </c>
      <c r="N235" s="839" t="str">
        <f t="shared" si="24"/>
        <v>x</v>
      </c>
    </row>
    <row r="236" spans="1:14" ht="12.75">
      <c r="A236" s="18"/>
      <c r="B236" s="36" t="str">
        <f>IF('[2]E-Milch'!B80="","-",'[2]E-Milch'!B80)</f>
        <v>Heu</v>
      </c>
      <c r="C236" s="18"/>
      <c r="D236" s="26">
        <f>IF('[2]E-Milch'!F80="","",'[2]E-Milch'!F80)</f>
        <v>93.52240244942388</v>
      </c>
      <c r="E236" s="27"/>
      <c r="F236" s="27"/>
      <c r="H236" s="28">
        <f>IF(Milch!F80="","",Milch!F80)</f>
      </c>
      <c r="I236" s="29" t="str">
        <f>IF(AND(D236="",H236=""),"",IF(H236=D236,"Richtig!",IF(H236="","Fehlt","Falsch")))</f>
        <v>Fehlt</v>
      </c>
      <c r="J236" s="30">
        <f t="shared" si="22"/>
        <v>0</v>
      </c>
      <c r="K236" s="23" t="str">
        <f t="shared" si="19"/>
        <v>│</v>
      </c>
      <c r="L236" s="24">
        <f t="shared" si="20"/>
        <v>1</v>
      </c>
      <c r="N236" s="841" t="str">
        <f t="shared" si="24"/>
        <v>x</v>
      </c>
    </row>
    <row r="237" spans="1:14" ht="12.75">
      <c r="A237" s="18"/>
      <c r="B237" s="36" t="str">
        <f>IF('[2]E-Milch'!B81="","-",'[2]E-Milch'!B81)</f>
        <v>Grassilage</v>
      </c>
      <c r="C237" s="18"/>
      <c r="D237" s="26">
        <f>IF('[2]E-Milch'!F81="","",'[2]E-Milch'!F81)</f>
        <v>41.96518058627994</v>
      </c>
      <c r="E237" s="27"/>
      <c r="F237" s="27"/>
      <c r="H237" s="28">
        <f>IF(Milch!F81="","",Milch!F81)</f>
      </c>
      <c r="I237" s="29" t="str">
        <f>IF(AND(D237="",H237=""),"",IF(H237=D237,"Richtig!",IF(H237="","Fehlt","Falsch")))</f>
        <v>Fehlt</v>
      </c>
      <c r="J237" s="30">
        <f t="shared" si="22"/>
        <v>0</v>
      </c>
      <c r="K237" s="23" t="str">
        <f t="shared" si="19"/>
        <v>│</v>
      </c>
      <c r="L237" s="24">
        <f t="shared" si="20"/>
        <v>1</v>
      </c>
      <c r="N237" s="841" t="str">
        <f t="shared" si="24"/>
        <v>x</v>
      </c>
    </row>
    <row r="238" spans="1:14" ht="12.75" hidden="1">
      <c r="A238" s="18"/>
      <c r="B238" s="36" t="str">
        <f>IF('[2]E-Milch'!B82="","-",'[2]E-Milch'!B82)</f>
        <v>Maissilage</v>
      </c>
      <c r="C238" s="18"/>
      <c r="D238" s="26">
        <f>IF('[2]E-Milch'!F82="","",'[2]E-Milch'!F82)</f>
        <v>0</v>
      </c>
      <c r="E238" s="27"/>
      <c r="F238" s="27"/>
      <c r="H238" s="28">
        <f>IF(Milch!F82="","",Milch!F82)</f>
        <v>0</v>
      </c>
      <c r="I238" s="29" t="str">
        <f>IF(AND(D238="",H238=""),"",IF(H238=D238,"Richtig!",IF(H238="","Fehlt","Falsch")))</f>
        <v>Richtig!</v>
      </c>
      <c r="J238" s="30" t="str">
        <f t="shared" si="22"/>
        <v>-</v>
      </c>
      <c r="K238" s="23">
        <f t="shared" si="19"/>
      </c>
      <c r="L238" s="24">
        <f t="shared" si="20"/>
      </c>
      <c r="N238" s="841"/>
    </row>
    <row r="239" spans="1:14" ht="12.75">
      <c r="A239" s="18"/>
      <c r="B239" s="36" t="str">
        <f>IF('[2]E-Milch'!G80="","-",'[2]E-Milch'!G80)</f>
        <v>∑ Grundfutterkosten</v>
      </c>
      <c r="C239" s="18"/>
      <c r="D239" s="31">
        <f>IF('[2]E-Milch'!G81="","",'[2]E-Milch'!G81)</f>
        <v>135.48758303570384</v>
      </c>
      <c r="E239" s="27"/>
      <c r="F239" s="32">
        <f>SUM(H236:H238)</f>
        <v>0</v>
      </c>
      <c r="H239" s="33">
        <f>IF(Milch!G81="","",Milch!G81)</f>
      </c>
      <c r="I239" s="29" t="str">
        <f>IF(B239="-","",IF(H239=D239,"Richtig!",IF(AND(D239&lt;&gt;H239,F239=H239),"Formel: OK",IF(H239="","Fehlt","Falsch"))))</f>
        <v>Fehlt</v>
      </c>
      <c r="J239" s="30">
        <f t="shared" si="22"/>
        <v>0</v>
      </c>
      <c r="K239" s="23" t="str">
        <f t="shared" si="19"/>
        <v>│</v>
      </c>
      <c r="L239" s="24">
        <f t="shared" si="20"/>
        <v>1</v>
      </c>
      <c r="N239" s="841" t="str">
        <f>IF($L$1="","",$L$1)</f>
        <v>x</v>
      </c>
    </row>
    <row r="240" spans="1:14" ht="12.75">
      <c r="A240" s="18"/>
      <c r="B240" s="18"/>
      <c r="C240" s="18"/>
      <c r="D240" s="19"/>
      <c r="H240" s="20"/>
      <c r="I240" s="21"/>
      <c r="J240" s="21"/>
      <c r="K240" s="23">
        <f t="shared" si="19"/>
      </c>
      <c r="L240" s="24">
        <f t="shared" si="20"/>
      </c>
      <c r="N240" s="842" t="str">
        <f>IF($L$1="","",$L$1)</f>
        <v>x</v>
      </c>
    </row>
    <row r="241" spans="1:14" ht="12.75">
      <c r="A241" s="17" t="s">
        <v>23</v>
      </c>
      <c r="B241" s="17" t="s">
        <v>37</v>
      </c>
      <c r="C241" s="18"/>
      <c r="D241" s="19"/>
      <c r="H241" s="20"/>
      <c r="I241" s="21"/>
      <c r="J241" s="21"/>
      <c r="K241" s="23">
        <f t="shared" si="19"/>
      </c>
      <c r="L241" s="24">
        <f t="shared" si="20"/>
      </c>
      <c r="N241" s="839" t="str">
        <f>IF($L$1="","",$L$1)</f>
        <v>x</v>
      </c>
    </row>
    <row r="242" spans="1:14" ht="12.75">
      <c r="A242" s="17"/>
      <c r="B242" s="36" t="str">
        <f>IF('[2]E-Milch'!B74="","-",'[2]E-Milch'!B74)</f>
        <v>DBK  Kalkulation (vorläufiger DB)</v>
      </c>
      <c r="C242" s="18"/>
      <c r="D242" s="31">
        <f>IF('[2]E-Milch'!G74="","",'[2]E-Milch'!G74)</f>
        <v>596.3666666666668</v>
      </c>
      <c r="E242" s="27"/>
      <c r="F242" s="32">
        <f>F216-F233</f>
        <v>165.15000000000003</v>
      </c>
      <c r="H242" s="33">
        <f>IF(Milch!G74="","",Milch!G74)</f>
      </c>
      <c r="I242" s="29" t="str">
        <f>IF(B242="-","",IF(H242=D242,"Richtig!",IF(AND(D242&lt;&gt;H242,F242=H242),"Formel: OK",IF(H242="","Fehlt","Falsch"))))</f>
        <v>Fehlt</v>
      </c>
      <c r="J242" s="30">
        <f t="shared" si="22"/>
        <v>0</v>
      </c>
      <c r="K242" s="23" t="str">
        <f t="shared" si="19"/>
        <v>│</v>
      </c>
      <c r="L242" s="24">
        <f t="shared" si="20"/>
        <v>1</v>
      </c>
      <c r="N242" s="841" t="str">
        <f>IF($L$1="","",$L$1)</f>
        <v>x</v>
      </c>
    </row>
    <row r="243" spans="1:14" ht="12.75">
      <c r="A243" s="18"/>
      <c r="B243" s="36" t="str">
        <f>IF('[2]E-Milch'!B83="","-",'[2]E-Milch'!B83)</f>
        <v>DB mit Berücksichtigung der Futterkosten</v>
      </c>
      <c r="C243" s="18"/>
      <c r="D243" s="31">
        <f>IF('[2]E-Milch'!G83="","",'[2]E-Milch'!G83)</f>
        <v>460.87908363096295</v>
      </c>
      <c r="E243" s="27"/>
      <c r="F243" s="32">
        <f>F242-F239</f>
        <v>165.15000000000003</v>
      </c>
      <c r="H243" s="33">
        <f>IF(Milch!G83="","",Milch!G83)</f>
      </c>
      <c r="I243" s="29" t="str">
        <f>IF(B243="-","",IF(H243=D243,"Richtig!",IF(AND(D243&lt;&gt;H243,F243=H243),"Formel: OK",IF(H243="","Fehlt","Falsch"))))</f>
        <v>Fehlt</v>
      </c>
      <c r="J243" s="30">
        <f t="shared" si="22"/>
        <v>0</v>
      </c>
      <c r="K243" s="23" t="str">
        <f t="shared" si="19"/>
        <v>│</v>
      </c>
      <c r="L243" s="24">
        <f t="shared" si="20"/>
        <v>1</v>
      </c>
      <c r="N243" s="841" t="str">
        <f>IF($L$1="","",$L$1)</f>
        <v>x</v>
      </c>
    </row>
    <row r="244" spans="1:14" ht="12.75" hidden="1">
      <c r="A244" s="18"/>
      <c r="B244" s="36" t="str">
        <f>IF('[2]E-Milch'!B88="","-",'[2]E-Milch'!B88)</f>
        <v>SUMME FÖRDERUNGEN</v>
      </c>
      <c r="C244" s="18"/>
      <c r="D244" s="26">
        <f>IF('[2]E-Milch'!G88="","",'[2]E-Milch'!G88)</f>
        <v>0</v>
      </c>
      <c r="E244" s="27"/>
      <c r="F244" s="27"/>
      <c r="H244" s="28">
        <f>IF(Milch!G88="","",Milch!G88)</f>
        <v>0</v>
      </c>
      <c r="I244" s="29" t="str">
        <f>IF(AND(D244="",H244=""),"",IF(H244=D244,"Richtig!",IF(H244="","Fehlt","Falsch")))</f>
        <v>Richtig!</v>
      </c>
      <c r="J244" s="30" t="str">
        <f t="shared" si="22"/>
        <v>-</v>
      </c>
      <c r="K244" s="23">
        <f t="shared" si="19"/>
      </c>
      <c r="L244" s="24">
        <f t="shared" si="20"/>
      </c>
      <c r="N244" s="841"/>
    </row>
    <row r="245" spans="1:14" ht="12.75">
      <c r="A245" s="18"/>
      <c r="B245" s="36" t="str">
        <f>IF('[2]E-Milch'!B89="","-",'[2]E-Milch'!B89)</f>
        <v>DB mit Berücksichtigung der Futterkosten und Förderungen</v>
      </c>
      <c r="C245" s="18"/>
      <c r="D245" s="31">
        <f>IF('[2]E-Milch'!G89="","",'[2]E-Milch'!G89)</f>
        <v>460.87908363096295</v>
      </c>
      <c r="E245" s="27"/>
      <c r="F245" s="32">
        <f>IF(OR(F243="",H244=""),"-",F243+H244)</f>
        <v>165.15000000000003</v>
      </c>
      <c r="H245" s="33">
        <f>IF(Milch!G89="","",Milch!G89)</f>
      </c>
      <c r="I245" s="29" t="str">
        <f>IF(B245="-","",IF(H245=D245,"Richtig!",IF(AND(D245&lt;&gt;H245,F245=H245),"Formel: OK",IF(H245="","Fehlt","Falsch"))))</f>
        <v>Fehlt</v>
      </c>
      <c r="J245" s="30">
        <f t="shared" si="22"/>
        <v>0</v>
      </c>
      <c r="K245" s="23" t="str">
        <f t="shared" si="19"/>
        <v>│</v>
      </c>
      <c r="L245" s="24">
        <f t="shared" si="20"/>
        <v>1</v>
      </c>
      <c r="N245" s="841" t="str">
        <f>IF($L$1="","",$L$1)</f>
        <v>x</v>
      </c>
    </row>
    <row r="246" spans="1:14" ht="12.75">
      <c r="A246" s="18"/>
      <c r="B246" s="18"/>
      <c r="C246" s="18"/>
      <c r="D246" s="19"/>
      <c r="H246" s="20"/>
      <c r="I246" s="21"/>
      <c r="J246" s="21"/>
      <c r="K246" s="23">
        <f t="shared" si="19"/>
      </c>
      <c r="L246" s="24">
        <f t="shared" si="20"/>
      </c>
      <c r="N246" s="842" t="str">
        <f>IF($L$1="","",$L$1)</f>
        <v>x</v>
      </c>
    </row>
    <row r="247" spans="1:14" ht="12.75">
      <c r="A247" s="17" t="s">
        <v>24</v>
      </c>
      <c r="B247" s="17" t="s">
        <v>38</v>
      </c>
      <c r="C247" s="18"/>
      <c r="D247" s="19"/>
      <c r="H247" s="20"/>
      <c r="I247" s="21"/>
      <c r="J247" s="21"/>
      <c r="K247" s="23">
        <f t="shared" si="19"/>
      </c>
      <c r="L247" s="24">
        <f t="shared" si="20"/>
      </c>
      <c r="N247" s="839" t="str">
        <f>IF($L$1="","",$L$1)</f>
        <v>x</v>
      </c>
    </row>
    <row r="248" spans="1:14" ht="12.75" hidden="1">
      <c r="A248" s="18"/>
      <c r="B248" s="36" t="str">
        <f>IF('[2]E-Milch'!B92="","-",'[2]E-Milch'!B92)</f>
        <v>Stallarbeitszeit</v>
      </c>
      <c r="C248" s="18"/>
      <c r="D248" s="26">
        <f>IF('[2]E-Milch'!G92="","",'[2]E-Milch'!G92)</f>
        <v>284.1666666666667</v>
      </c>
      <c r="E248" s="27"/>
      <c r="F248" s="27"/>
      <c r="H248" s="28">
        <f>IF(Milch!G92="","",Milch!G92)</f>
        <v>284.16666666666663</v>
      </c>
      <c r="I248" s="29" t="str">
        <f>IF(AND(D248="",H248=""),"",IF(H248=D248,"Richtig!",IF(H248="","Fehlt","Falsch")))</f>
        <v>Richtig!</v>
      </c>
      <c r="J248" s="30" t="str">
        <f t="shared" si="22"/>
        <v>-</v>
      </c>
      <c r="K248" s="23">
        <f t="shared" si="19"/>
      </c>
      <c r="L248" s="24">
        <f t="shared" si="20"/>
      </c>
      <c r="N248" s="841"/>
    </row>
    <row r="249" spans="1:14" ht="12.75" hidden="1">
      <c r="A249" s="18"/>
      <c r="B249" s="36" t="str">
        <f>IF('[2]E-Milch'!B94="","-",'[2]E-Milch'!B94)</f>
        <v>Gesamtstunden an Arbeitszeit</v>
      </c>
      <c r="C249" s="18"/>
      <c r="D249" s="31">
        <f>IF('[2]E-Milch'!G94="","",'[2]E-Milch'!G94)</f>
        <v>354.0629166666667</v>
      </c>
      <c r="E249" s="27"/>
      <c r="F249" s="32">
        <f>SUM('[2]E-Milch'!G93,H248)</f>
        <v>354.06291666666664</v>
      </c>
      <c r="H249" s="33">
        <f>IF(Milch!G94="","",Milch!G94)</f>
        <v>354.06291666666664</v>
      </c>
      <c r="I249" s="29" t="str">
        <f>IF(B249="-","",IF(H249=D249,"Richtig!",IF(AND(D249&lt;&gt;H249,F249=H249),"Formel: OK",IF(H249="","Fehlt","Falsch"))))</f>
        <v>Richtig!</v>
      </c>
      <c r="J249" s="30" t="str">
        <f t="shared" si="22"/>
        <v>-</v>
      </c>
      <c r="K249" s="23">
        <f t="shared" si="19"/>
      </c>
      <c r="L249" s="24">
        <f t="shared" si="20"/>
      </c>
      <c r="N249" s="841"/>
    </row>
    <row r="250" spans="1:14" ht="12.75">
      <c r="A250" s="18"/>
      <c r="B250" s="36" t="str">
        <f>IF('[2]E-Milch'!B95="","-",'[2]E-Milch'!B95)</f>
        <v>DB je AK/Stunde</v>
      </c>
      <c r="C250" s="18"/>
      <c r="D250" s="31">
        <f>IF('[2]E-Milch'!G95="","",'[2]E-Milch'!G95)</f>
        <v>1.3016869656102916</v>
      </c>
      <c r="E250" s="27"/>
      <c r="F250" s="32">
        <f>IF(OR(F245="",F245="-",F249=""),"-",F245/F249)</f>
        <v>0.4664425225742601</v>
      </c>
      <c r="H250" s="33">
        <f>IF(Milch!G95="","",Milch!G95)</f>
      </c>
      <c r="I250" s="29" t="str">
        <f>IF(B250="-","",IF(H250=D250,"Richtig!",IF(AND(D250&lt;&gt;H250,F250=H250),"Formel: OK",IF(H250="","Fehlt","Falsch"))))</f>
        <v>Fehlt</v>
      </c>
      <c r="J250" s="30">
        <f t="shared" si="22"/>
        <v>0</v>
      </c>
      <c r="K250" s="23" t="str">
        <f t="shared" si="19"/>
        <v>│</v>
      </c>
      <c r="L250" s="24">
        <f t="shared" si="20"/>
        <v>1</v>
      </c>
      <c r="N250" s="841" t="str">
        <f>IF($L$1="","",$L$1)</f>
        <v>x</v>
      </c>
    </row>
    <row r="251" spans="1:14" ht="12.75">
      <c r="A251" s="18"/>
      <c r="C251" s="18"/>
      <c r="D251" s="19"/>
      <c r="H251" s="20"/>
      <c r="I251" s="21"/>
      <c r="J251" s="21"/>
      <c r="K251" s="23">
        <f t="shared" si="19"/>
      </c>
      <c r="L251" s="24">
        <f t="shared" si="20"/>
      </c>
      <c r="N251" s="842" t="str">
        <f>IF($L$1="","",$L$1)</f>
        <v>x</v>
      </c>
    </row>
    <row r="252" spans="1:14" ht="22.5" hidden="1">
      <c r="A252" s="10" t="s">
        <v>39</v>
      </c>
      <c r="B252" s="11"/>
      <c r="C252" s="12"/>
      <c r="D252" s="13" t="s">
        <v>4</v>
      </c>
      <c r="E252" s="13"/>
      <c r="F252" s="14" t="s">
        <v>5</v>
      </c>
      <c r="G252" s="12"/>
      <c r="H252" s="14" t="s">
        <v>6</v>
      </c>
      <c r="I252" s="15" t="str">
        <f>"Fehler"</f>
        <v>Fehler</v>
      </c>
      <c r="J252" s="16" t="s">
        <v>7</v>
      </c>
      <c r="K252" s="16"/>
      <c r="L252" s="16"/>
      <c r="N252" s="840"/>
    </row>
    <row r="253" spans="1:14" ht="12.75" hidden="1">
      <c r="A253" s="17" t="s">
        <v>40</v>
      </c>
      <c r="B253" s="17"/>
      <c r="C253" s="18"/>
      <c r="D253" s="19"/>
      <c r="H253" s="17"/>
      <c r="I253" s="21"/>
      <c r="J253" s="21"/>
      <c r="K253" s="23">
        <f t="shared" si="19"/>
      </c>
      <c r="L253" s="24">
        <f t="shared" si="20"/>
      </c>
      <c r="N253" s="839"/>
    </row>
    <row r="254" spans="2:14" ht="12.75" hidden="1">
      <c r="B254" s="25" t="str">
        <f>IF(MuKu!B7=""," - ",MuKu!$B$4&amp;" - "&amp;MuKu!B7)</f>
        <v>Futterbedarf - Bedarf/Tag</v>
      </c>
      <c r="C254" s="18"/>
      <c r="D254" s="26">
        <f>IF('[2]E-MuKu'!$D7="","",'[2]E-MuKu'!$D7)</f>
        <v>64.141753201443</v>
      </c>
      <c r="E254" s="27"/>
      <c r="H254" s="39">
        <f>IF(MuKu!$D7="","",MuKu!$D7)</f>
        <v>64.141753201443</v>
      </c>
      <c r="I254" s="29" t="str">
        <f>IF(H254=D254,"Richtig!",IF(H254="","Fehlt","Falsch"))</f>
        <v>Richtig!</v>
      </c>
      <c r="J254" s="30" t="str">
        <f t="shared" si="22"/>
        <v>-</v>
      </c>
      <c r="K254" s="23">
        <f t="shared" si="19"/>
      </c>
      <c r="L254" s="24">
        <f t="shared" si="20"/>
      </c>
      <c r="N254" s="841"/>
    </row>
    <row r="255" spans="2:14" ht="12.75" hidden="1">
      <c r="B255" s="25" t="str">
        <f>IF(MuKu!B8=""," - ",MuKu!$B$4&amp;" - "&amp;MuKu!B8)</f>
        <v>Futterbedarf - Bedarf je Mutterkuh</v>
      </c>
      <c r="C255" s="18"/>
      <c r="D255" s="26">
        <f>IF('[2]E-MuKu'!$D8="","",'[2]E-MuKu'!$D8)</f>
        <v>18601.10842841847</v>
      </c>
      <c r="E255" s="27"/>
      <c r="F255" s="27"/>
      <c r="H255" s="39">
        <f>IF(MuKu!$D8="","",MuKu!$D8)</f>
        <v>18601.10842841847</v>
      </c>
      <c r="I255" s="29" t="str">
        <f>IF(H255=D255,"Richtig!",IF(H255="","Fehlt","Falsch"))</f>
        <v>Richtig!</v>
      </c>
      <c r="J255" s="30" t="str">
        <f t="shared" si="22"/>
        <v>-</v>
      </c>
      <c r="K255" s="23">
        <f t="shared" si="19"/>
      </c>
      <c r="L255" s="24">
        <f t="shared" si="20"/>
      </c>
      <c r="N255" s="841"/>
    </row>
    <row r="256" spans="2:14" ht="12.75" hidden="1">
      <c r="B256" s="25" t="str">
        <f>IF(MuKu!B10=""," - ",MuKu!$B$4&amp;" - "&amp;MuKu!B10)</f>
        <v>Futterbedarf - Jahresbedarf ink. Nachkommen</v>
      </c>
      <c r="C256" s="18"/>
      <c r="D256" s="31">
        <f>IF('[2]E-MuKu'!$D10="","",'[2]E-MuKu'!$D10)</f>
        <v>25601.10842841847</v>
      </c>
      <c r="E256" s="27"/>
      <c r="F256" s="32">
        <f>IF(AND(H255="",MuKu!D9=""),"-",SUM(H255,MuKu!D9))</f>
        <v>25601.10842841847</v>
      </c>
      <c r="H256" s="40">
        <f>IF(MuKu!$D10="","",MuKu!$D10)</f>
        <v>25601.10842841847</v>
      </c>
      <c r="I256" s="29" t="str">
        <f>IF(B256="-","",IF(H256=D256,"Richtig!",IF(AND(D256&lt;&gt;H256,F256=H256),"Formel: OK",IF(H256="","Fehlt","Falsch"))))</f>
        <v>Richtig!</v>
      </c>
      <c r="J256" s="30" t="str">
        <f t="shared" si="22"/>
        <v>-</v>
      </c>
      <c r="K256" s="23">
        <f t="shared" si="19"/>
      </c>
      <c r="L256" s="24">
        <f t="shared" si="20"/>
      </c>
      <c r="N256" s="841"/>
    </row>
    <row r="257" spans="1:14" ht="12.75" hidden="1">
      <c r="A257" s="18"/>
      <c r="C257" s="18"/>
      <c r="D257" s="34"/>
      <c r="E257" s="27"/>
      <c r="F257" s="27"/>
      <c r="H257" s="41"/>
      <c r="I257" s="29"/>
      <c r="J257" s="29"/>
      <c r="K257" s="23">
        <f t="shared" si="19"/>
      </c>
      <c r="L257" s="24">
        <f t="shared" si="20"/>
      </c>
      <c r="N257" s="842"/>
    </row>
    <row r="258" spans="1:14" ht="12.75" hidden="1">
      <c r="A258" s="17" t="s">
        <v>41</v>
      </c>
      <c r="B258" s="17"/>
      <c r="C258" s="18"/>
      <c r="D258" s="19"/>
      <c r="H258" s="17"/>
      <c r="I258" s="21"/>
      <c r="J258" s="21"/>
      <c r="K258" s="23">
        <f t="shared" si="19"/>
      </c>
      <c r="L258" s="24">
        <f t="shared" si="20"/>
      </c>
      <c r="N258" s="839"/>
    </row>
    <row r="259" spans="1:14" ht="12.75" hidden="1">
      <c r="A259" s="17"/>
      <c r="B259" s="25" t="str">
        <f>IF(AND(MuKu!$E$22="",MuKu!B23=""),"-",("Verkaufsm"&amp;MID(MuKu!$E$22,2,4)&amp;" - "&amp;MuKu!B23))</f>
        <v>Verkaufsmenge - Kalbin</v>
      </c>
      <c r="C259" s="18"/>
      <c r="D259" s="26">
        <f>IF('[2]E-MuKu'!$E23="","",'[2]E-MuKu'!$E23)</f>
        <v>0.2833333333333333</v>
      </c>
      <c r="E259" s="27"/>
      <c r="H259" s="39">
        <f>IF(MuKu!$E23="","",MuKu!$E23)</f>
        <v>0.2833333333333333</v>
      </c>
      <c r="I259" s="29" t="str">
        <f>IF(H259=D259,"Richtig!",IF(H259="","Fehlt","Falsch"))</f>
        <v>Richtig!</v>
      </c>
      <c r="J259" s="30" t="str">
        <f t="shared" si="22"/>
        <v>-</v>
      </c>
      <c r="K259" s="23">
        <f t="shared" si="19"/>
      </c>
      <c r="L259" s="24">
        <f t="shared" si="20"/>
      </c>
      <c r="N259" s="841"/>
    </row>
    <row r="260" spans="1:14" ht="12.75" hidden="1">
      <c r="A260" s="17"/>
      <c r="B260" s="25" t="str">
        <f>IF(AND(MuKu!$E$22="",MuKu!B24=""),"-",("Verkaufsm"&amp;MID(MuKu!$E$22,2,4)&amp;" - "&amp;MuKu!B24))</f>
        <v>Verkaufsmenge - Stier</v>
      </c>
      <c r="C260" s="18"/>
      <c r="D260" s="26">
        <f>IF('[2]E-MuKu'!$E24="","",'[2]E-MuKu'!$E24)</f>
        <v>0.45</v>
      </c>
      <c r="E260" s="27"/>
      <c r="H260" s="39">
        <f>IF(MuKu!$E24="","",MuKu!$E24)</f>
        <v>0.45</v>
      </c>
      <c r="I260" s="29" t="str">
        <f>IF(H260=D260,"Richtig!",IF(H260="","Fehlt","Falsch"))</f>
        <v>Richtig!</v>
      </c>
      <c r="J260" s="30" t="str">
        <f t="shared" si="22"/>
        <v>-</v>
      </c>
      <c r="K260" s="23">
        <f t="shared" si="19"/>
      </c>
      <c r="L260" s="24">
        <f t="shared" si="20"/>
      </c>
      <c r="N260" s="841"/>
    </row>
    <row r="261" spans="2:14" ht="12.75" hidden="1">
      <c r="B261" s="25" t="str">
        <f>IF(AND(MuKu!$E$22="",MuKu!B25=""),"-",("Verkaufsm"&amp;MID(MuKu!$E$22,2,4)&amp;" - "&amp;MID(MuKu!B25,1,6)))</f>
        <v>Verkaufsmenge - Altkuh</v>
      </c>
      <c r="C261" s="18"/>
      <c r="D261" s="26">
        <f>IF('[2]E-MuKu'!$E25="","",'[2]E-MuKu'!$E25)</f>
        <v>0.16666666666666666</v>
      </c>
      <c r="E261" s="27"/>
      <c r="H261" s="39">
        <f>IF(MuKu!$E25="","",MuKu!$E25)</f>
        <v>0.16666666666666666</v>
      </c>
      <c r="I261" s="29" t="str">
        <f>IF(H261=D261,"Richtig!",IF(H261="","Fehlt","Falsch"))</f>
        <v>Richtig!</v>
      </c>
      <c r="J261" s="30" t="str">
        <f t="shared" si="22"/>
        <v>-</v>
      </c>
      <c r="K261" s="23">
        <f t="shared" si="19"/>
      </c>
      <c r="L261" s="24">
        <f t="shared" si="20"/>
      </c>
      <c r="N261" s="841"/>
    </row>
    <row r="262" spans="2:14" ht="12.75" hidden="1">
      <c r="B262" s="25" t="str">
        <f>IF(MuKu!B23=""," - ",MuKu!$B$21&amp;" - "&amp;MuKu!B23)</f>
        <v>Rohertrag - Kalbin</v>
      </c>
      <c r="C262" s="18"/>
      <c r="D262" s="31">
        <f>IF('[2]E-MuKu'!$H23="","",'[2]E-MuKu'!$H23)</f>
        <v>242.3916666666667</v>
      </c>
      <c r="E262" s="27"/>
      <c r="F262" s="32">
        <f>IF(OR(H259="",MuKu!C18="",MuKu!E18="",MuKu!H18=""),"-",H259*MuKu!C18*MuKu!E18*MuKu!H18)</f>
        <v>242.3916666666667</v>
      </c>
      <c r="H262" s="40">
        <f>IF(MuKu!$H23="","",MuKu!$H23)</f>
        <v>242.3916666666667</v>
      </c>
      <c r="I262" s="29" t="str">
        <f>IF(B262="-","",IF(H262=D262,"Richtig!",IF(AND(D262&lt;&gt;H262,F262=H262),"Formel: OK",IF(H262="","Fehlt","Falsch"))))</f>
        <v>Richtig!</v>
      </c>
      <c r="J262" s="30" t="str">
        <f t="shared" si="22"/>
        <v>-</v>
      </c>
      <c r="K262" s="23">
        <f t="shared" si="19"/>
      </c>
      <c r="L262" s="24">
        <f t="shared" si="20"/>
      </c>
      <c r="N262" s="841"/>
    </row>
    <row r="263" spans="2:14" ht="12.75" hidden="1">
      <c r="B263" s="25" t="str">
        <f>IF(MuKu!B24=""," - ",MuKu!$B$21&amp;" - "&amp;MuKu!B24)</f>
        <v>Rohertrag - Stier</v>
      </c>
      <c r="C263" s="18"/>
      <c r="D263" s="31">
        <f>IF('[2]E-MuKu'!$H24="","",'[2]E-MuKu'!$H24)</f>
        <v>487.971</v>
      </c>
      <c r="E263" s="27"/>
      <c r="F263" s="32">
        <f>IF(OR(H260="",MuKu!C19="",MuKu!E19="",MuKu!H19=""),"-",H260*MuKu!C19*MuKu!E19*MuKu!H19)</f>
        <v>487.971</v>
      </c>
      <c r="H263" s="40">
        <f>IF(MuKu!$H24="","",MuKu!$H24)</f>
        <v>487.971</v>
      </c>
      <c r="I263" s="29" t="str">
        <f>IF(B263="-","",IF(H263=D263,"Richtig!",IF(AND(D263&lt;&gt;H263,F263=H263),"Formel: OK",IF(H263="","Fehlt","Falsch"))))</f>
        <v>Richtig!</v>
      </c>
      <c r="J263" s="30" t="str">
        <f t="shared" si="22"/>
        <v>-</v>
      </c>
      <c r="K263" s="23">
        <f t="shared" si="19"/>
      </c>
      <c r="L263" s="24">
        <f t="shared" si="20"/>
      </c>
      <c r="N263" s="841"/>
    </row>
    <row r="264" spans="2:14" ht="12.75" hidden="1">
      <c r="B264" s="25" t="str">
        <f>IF(MuKu!B25=""," - ",MuKu!$B$21&amp;" - "&amp;MuKu!B25)</f>
        <v>Rohertrag - Altkuherlös</v>
      </c>
      <c r="C264" s="18"/>
      <c r="D264" s="31">
        <f>IF('[2]E-MuKu'!$H25="","",'[2]E-MuKu'!$H25)</f>
        <v>115.50000000000001</v>
      </c>
      <c r="E264" s="27"/>
      <c r="F264" s="32">
        <f>IF(OR(H261="",MuKu!D25="",MuKu!H15=""),"-",H261*MuKu!D25*MuKu!H15)</f>
        <v>115.50000000000001</v>
      </c>
      <c r="H264" s="40">
        <f>IF(MuKu!$H25="","",MuKu!$H25)</f>
        <v>115.50000000000001</v>
      </c>
      <c r="I264" s="29" t="str">
        <f>IF(B264="-","",IF(H264=D264,"Richtig!",IF(AND(D264&lt;&gt;H264,F264=H264),"Formel: OK",IF(H264="","Fehlt","Falsch"))))</f>
        <v>Richtig!</v>
      </c>
      <c r="J264" s="30" t="str">
        <f t="shared" si="22"/>
        <v>-</v>
      </c>
      <c r="K264" s="23">
        <f t="shared" si="19"/>
      </c>
      <c r="L264" s="24">
        <f t="shared" si="20"/>
      </c>
      <c r="N264" s="841"/>
    </row>
    <row r="265" spans="2:14" ht="12.75" hidden="1">
      <c r="B265" s="36" t="str">
        <f>IF(MuKu!B26=""," - ",MuKu!B26)</f>
        <v>SUMME ROHERTRAG</v>
      </c>
      <c r="C265" s="18"/>
      <c r="D265" s="31">
        <f>IF('[2]E-MuKu'!$H26="","",'[2]E-MuKu'!$H26)</f>
        <v>845.8626666666667</v>
      </c>
      <c r="E265" s="27"/>
      <c r="F265" s="32">
        <f>IF(AND(H262="",H263="",H264=""),"-",SUM(H262:H264))</f>
        <v>845.8626666666667</v>
      </c>
      <c r="H265" s="40">
        <f>IF(MuKu!$H26="","",MuKu!$H26)</f>
      </c>
      <c r="I265" s="29" t="str">
        <f>IF(B265="-","",IF(H265=D265,"Richtig!",IF(AND(D265&lt;&gt;H265,F265=H265),"Formel: OK",IF(H265="","Fehlt","Falsch"))))</f>
        <v>Fehlt</v>
      </c>
      <c r="J265" s="30" t="str">
        <f t="shared" si="22"/>
        <v>-</v>
      </c>
      <c r="K265" s="23">
        <f t="shared" si="19"/>
      </c>
      <c r="L265" s="24">
        <f t="shared" si="20"/>
      </c>
      <c r="N265" s="841"/>
    </row>
    <row r="266" spans="1:14" ht="12.75" hidden="1">
      <c r="A266" s="18"/>
      <c r="B266" s="18"/>
      <c r="C266" s="18"/>
      <c r="D266" s="34"/>
      <c r="E266" s="27"/>
      <c r="F266" s="27"/>
      <c r="H266" s="41"/>
      <c r="I266" s="29"/>
      <c r="J266" s="29"/>
      <c r="K266" s="23">
        <f aca="true" t="shared" si="25" ref="K266:K365">IF(L266="","","│")</f>
      </c>
      <c r="L266" s="24">
        <f aca="true" t="shared" si="26" ref="L266:L365">IF(OR(B266="-",N266="",AND(D266="",H266="")),"",1)</f>
      </c>
      <c r="N266" s="842"/>
    </row>
    <row r="267" spans="1:14" ht="12.75" hidden="1">
      <c r="A267" s="17" t="s">
        <v>42</v>
      </c>
      <c r="B267" s="17"/>
      <c r="C267" s="18"/>
      <c r="D267" s="19"/>
      <c r="H267" s="17"/>
      <c r="I267" s="21"/>
      <c r="J267" s="21"/>
      <c r="K267" s="23">
        <f t="shared" si="25"/>
      </c>
      <c r="L267" s="24">
        <f t="shared" si="26"/>
      </c>
      <c r="N267" s="839"/>
    </row>
    <row r="268" spans="1:14" ht="12.75" hidden="1">
      <c r="A268" s="18"/>
      <c r="B268" s="36" t="str">
        <f>IF(MuKu!B29=""," - ",MuKu!B29&amp;" - "&amp;MuKu!D28)</f>
        <v>Bestandsergänzung - Menge</v>
      </c>
      <c r="C268" s="18"/>
      <c r="D268" s="26">
        <f>IF('[2]E-MuKu'!$D29="","",'[2]E-MuKu'!$D29)</f>
        <v>0.16666666666666666</v>
      </c>
      <c r="E268" s="27"/>
      <c r="F268" s="27"/>
      <c r="H268" s="39">
        <f>IF(MuKu!$D29="","",MuKu!$D29)</f>
        <v>0.16666666666666666</v>
      </c>
      <c r="I268" s="29" t="str">
        <f>IF(B268="-","",IF(H268=D268,"Richtig!",IF(H268="","Fehlt","Falsch")))</f>
        <v>Richtig!</v>
      </c>
      <c r="J268" s="30" t="str">
        <f aca="true" t="shared" si="27" ref="J268:J281">IF(OR(B268="-",N268="",AND(D268="",H268="")),"-",IF(I268="Richtig!",1,IF(I268="Formel: OK",0.5,IF(OR(I268="Falsch",I268="Fehlt"),0,""))))</f>
        <v>-</v>
      </c>
      <c r="K268" s="23">
        <f t="shared" si="25"/>
      </c>
      <c r="L268" s="24">
        <f t="shared" si="26"/>
      </c>
      <c r="N268" s="841"/>
    </row>
    <row r="269" spans="1:14" ht="12.75" hidden="1">
      <c r="A269" s="18"/>
      <c r="B269" s="36" t="str">
        <f>IF(MuKu!B29=""," - ",MID(MuKu!$B$28,1,1)&amp;MID(MuKu!$B$28,10,1)&amp;" - "&amp;MuKu!B29)</f>
        <v>VK - Bestandsergänzung</v>
      </c>
      <c r="C269" s="18"/>
      <c r="D269" s="31">
        <f>IF('[2]E-MuKu'!$H29="","",'[2]E-MuKu'!$H29)</f>
        <v>142.58333333333334</v>
      </c>
      <c r="E269" s="27"/>
      <c r="F269" s="32">
        <f>IF(OR(H262="",H259="",H268=""),"-",H262/H259*H268)</f>
        <v>142.58333333333334</v>
      </c>
      <c r="H269" s="40">
        <f>IF(MuKu!$H29="","",MuKu!$H29)</f>
        <v>142.58333333333331</v>
      </c>
      <c r="I269" s="29" t="str">
        <f>IF(B269="-","",IF(H269=D269,"Richtig!",IF(AND(D269&lt;&gt;H269,F269=H269),"Formel: OK",IF(H269="","Fehlt","Falsch"))))</f>
        <v>Richtig!</v>
      </c>
      <c r="J269" s="30" t="str">
        <f t="shared" si="27"/>
        <v>-</v>
      </c>
      <c r="K269" s="23">
        <f t="shared" si="25"/>
      </c>
      <c r="L269" s="24">
        <f t="shared" si="26"/>
      </c>
      <c r="N269" s="841"/>
    </row>
    <row r="270" spans="1:14" ht="12.75" hidden="1">
      <c r="A270" s="18"/>
      <c r="B270" s="36" t="str">
        <f>IF(MuKu!B30=""," - ",MID(MuKu!$B$28,1,1)&amp;MID(MuKu!$B$28,10,1)&amp;" - "&amp;MuKu!B30)</f>
        <v>VK - KF-Gaben </v>
      </c>
      <c r="C270" s="18"/>
      <c r="D270" s="26">
        <f>IF('[2]E-MuKu'!$H30="","",'[2]E-MuKu'!$H30)</f>
        <v>9.24</v>
      </c>
      <c r="E270" s="27"/>
      <c r="F270" s="27"/>
      <c r="H270" s="39">
        <f>IF(MuKu!$H30="","",MuKu!$H30)</f>
      </c>
      <c r="I270" s="29" t="str">
        <f>IF(B270="-","",IF(H270=D270,"Richtig!",IF(H270="","Fehlt","Falsch")))</f>
        <v>Fehlt</v>
      </c>
      <c r="J270" s="30" t="str">
        <f t="shared" si="27"/>
        <v>-</v>
      </c>
      <c r="K270" s="23">
        <f t="shared" si="25"/>
      </c>
      <c r="L270" s="24">
        <f t="shared" si="26"/>
      </c>
      <c r="N270" s="841"/>
    </row>
    <row r="271" spans="1:14" ht="12.75" hidden="1">
      <c r="A271" s="18"/>
      <c r="B271" s="36" t="str">
        <f>IF(MuKu!B31=""," - ",MID(MuKu!$B$28,1,1)&amp;MID(MuKu!$B$28,10,1)&amp;" - "&amp;MuKu!B31)</f>
        <v>VK - Mineralstoffe</v>
      </c>
      <c r="C271" s="18"/>
      <c r="D271" s="26">
        <f>IF('[2]E-MuKu'!$H31="","",'[2]E-MuKu'!$H31)</f>
        <v>9.9</v>
      </c>
      <c r="E271" s="27"/>
      <c r="F271" s="27"/>
      <c r="H271" s="39">
        <f>IF(MuKu!$H31="","",MuKu!$H31)</f>
      </c>
      <c r="I271" s="29" t="str">
        <f>IF(B271="-","",IF(H271=D271,"Richtig!",IF(H271="","Fehlt","Falsch")))</f>
        <v>Fehlt</v>
      </c>
      <c r="J271" s="30" t="str">
        <f t="shared" si="27"/>
        <v>-</v>
      </c>
      <c r="K271" s="23">
        <f t="shared" si="25"/>
      </c>
      <c r="L271" s="24">
        <f t="shared" si="26"/>
      </c>
      <c r="N271" s="841"/>
    </row>
    <row r="272" spans="1:14" ht="12.75" hidden="1">
      <c r="A272" s="18"/>
      <c r="B272" s="36" t="str">
        <f>IF(MuKu!B32=""," - ",MID(MuKu!$B$28,1,1)&amp;MID(MuKu!$B$28,10,1)&amp;" - "&amp;MuKu!B32)</f>
        <v>VK - Tierarzt Med.</v>
      </c>
      <c r="C272" s="18"/>
      <c r="D272" s="26">
        <f>IF('[2]E-MuKu'!$H32="","",'[2]E-MuKu'!$H32)</f>
        <v>17</v>
      </c>
      <c r="E272" s="27"/>
      <c r="F272" s="27"/>
      <c r="H272" s="39">
        <f>IF(MuKu!$H32="","",MuKu!$H32)</f>
        <v>17</v>
      </c>
      <c r="I272" s="29" t="str">
        <f>IF(B272="-","",IF(H272=D272,"Richtig!",IF(H272="","Fehlt","Falsch")))</f>
        <v>Richtig!</v>
      </c>
      <c r="J272" s="30" t="str">
        <f t="shared" si="27"/>
        <v>-</v>
      </c>
      <c r="K272" s="23">
        <f t="shared" si="25"/>
      </c>
      <c r="L272" s="24">
        <f t="shared" si="26"/>
      </c>
      <c r="N272" s="841"/>
    </row>
    <row r="273" spans="1:14" ht="12.75" hidden="1">
      <c r="A273" s="18"/>
      <c r="B273" s="36" t="str">
        <f>IF(MuKu!B33=""," - ",MID(MuKu!$B$28,1,1)&amp;MID(MuKu!$B$28,10,1)&amp;" - "&amp;MuKu!B33)</f>
        <v>VK - Deckgeld</v>
      </c>
      <c r="C273" s="18"/>
      <c r="D273" s="26">
        <f>IF('[2]E-MuKu'!$H33="","",'[2]E-MuKu'!$H33)</f>
        <v>30</v>
      </c>
      <c r="E273" s="27"/>
      <c r="F273" s="27"/>
      <c r="H273" s="39">
        <f>IF(MuKu!$H33="","",MuKu!$H33)</f>
        <v>30</v>
      </c>
      <c r="I273" s="29" t="str">
        <f>IF(B273="-","",IF(H273=D273,"Richtig!",IF(H273="","Fehlt","Falsch")))</f>
        <v>Richtig!</v>
      </c>
      <c r="J273" s="30" t="str">
        <f t="shared" si="27"/>
        <v>-</v>
      </c>
      <c r="K273" s="23">
        <f t="shared" si="25"/>
      </c>
      <c r="L273" s="24">
        <f t="shared" si="26"/>
      </c>
      <c r="N273" s="841"/>
    </row>
    <row r="274" spans="1:14" ht="12.75" hidden="1">
      <c r="A274" s="18"/>
      <c r="B274" s="36" t="str">
        <f>IF(MuKu!B34=""," - ",MID(MuKu!$B$28,1,1)&amp;MID(MuKu!$B$28,10,1)&amp;" - "&amp;MuKu!B34)</f>
        <v>VK - Versicherung</v>
      </c>
      <c r="C274" s="18"/>
      <c r="D274" s="31">
        <f>IF('[2]E-MuKu'!$H34="","",'[2]E-MuKu'!$H34)</f>
        <v>25.37588</v>
      </c>
      <c r="E274" s="27"/>
      <c r="F274" s="32" t="str">
        <f>IF(OR(H265="",MuKu!D34=""),"-",H265*MuKu!D34)</f>
        <v>-</v>
      </c>
      <c r="H274" s="40">
        <f>IF(MuKu!$H34="","",MuKu!$H34)</f>
        <v>0</v>
      </c>
      <c r="I274" s="29" t="str">
        <f>IF(B274="-","",IF(H274=D274,"Richtig!",IF(AND(D274&lt;&gt;H274,F274=H274),"Formel: OK",IF(H274="","Fehlt","Falsch"))))</f>
        <v>Falsch</v>
      </c>
      <c r="J274" s="30" t="str">
        <f t="shared" si="27"/>
        <v>-</v>
      </c>
      <c r="K274" s="23">
        <f t="shared" si="25"/>
      </c>
      <c r="L274" s="24">
        <f t="shared" si="26"/>
      </c>
      <c r="N274" s="841"/>
    </row>
    <row r="275" spans="1:14" ht="12.75" hidden="1">
      <c r="A275" s="18"/>
      <c r="B275" s="36" t="str">
        <f>IF(MuKu!B35=""," - ",MID(MuKu!$B$28,1,1)&amp;MID(MuKu!$B$28,10,1)&amp;" - "&amp;MuKu!B35)</f>
        <v>VK - Beiträge</v>
      </c>
      <c r="C275" s="18"/>
      <c r="D275" s="26">
        <f>IF('[2]E-MuKu'!$H35="","",'[2]E-MuKu'!$H35)</f>
        <v>14</v>
      </c>
      <c r="E275" s="27"/>
      <c r="F275" s="27"/>
      <c r="H275" s="39">
        <f>IF(MuKu!$H35="","",MuKu!$H35)</f>
      </c>
      <c r="I275" s="29" t="str">
        <f>IF(B275="-","",IF(H275=D275,"Richtig!",IF(H275="","Fehlt","Falsch")))</f>
        <v>Fehlt</v>
      </c>
      <c r="J275" s="30" t="str">
        <f t="shared" si="27"/>
        <v>-</v>
      </c>
      <c r="K275" s="23">
        <f t="shared" si="25"/>
      </c>
      <c r="L275" s="24">
        <f t="shared" si="26"/>
      </c>
      <c r="N275" s="841"/>
    </row>
    <row r="276" spans="1:14" ht="12.75" hidden="1">
      <c r="A276" s="18"/>
      <c r="B276" s="36" t="str">
        <f>IF(MuKu!B36=""," - ",MID(MuKu!$B$28,1,1)&amp;MID(MuKu!$B$28,10,1)&amp;" - "&amp;MuKu!B36)</f>
        <v>VK - Sonstige Kosten</v>
      </c>
      <c r="C276" s="18"/>
      <c r="D276" s="26">
        <f>IF('[2]E-MuKu'!$H36="","",'[2]E-MuKu'!$H36)</f>
        <v>48</v>
      </c>
      <c r="E276" s="27"/>
      <c r="F276" s="27"/>
      <c r="H276" s="39">
        <f>IF(MuKu!$H36="","",MuKu!$H36)</f>
      </c>
      <c r="I276" s="29" t="str">
        <f>IF(B276="-","",IF(H276=D276,"Richtig!",IF(H276="","Fehlt","Falsch")))</f>
        <v>Fehlt</v>
      </c>
      <c r="J276" s="30" t="str">
        <f t="shared" si="27"/>
        <v>-</v>
      </c>
      <c r="K276" s="23">
        <f t="shared" si="25"/>
      </c>
      <c r="L276" s="24">
        <f t="shared" si="26"/>
      </c>
      <c r="N276" s="841"/>
    </row>
    <row r="277" spans="1:14" ht="12.75" hidden="1">
      <c r="A277" s="18"/>
      <c r="B277" s="36" t="str">
        <f>IF(MuKu!B37=""," - ",MID(MuKu!$B$28,1,1)&amp;MID(MuKu!$B$28,10,1)&amp;" - "&amp;MuKu!B37)</f>
        <v>VK - Alpung, Transportkosten....</v>
      </c>
      <c r="C277" s="18"/>
      <c r="D277" s="26">
        <f>IF('[2]E-MuKu'!$H37="","",'[2]E-MuKu'!$H37)</f>
        <v>32</v>
      </c>
      <c r="E277" s="27"/>
      <c r="F277" s="27"/>
      <c r="H277" s="39">
        <f>IF(MuKu!$H37="","",MuKu!$H37)</f>
      </c>
      <c r="I277" s="29" t="str">
        <f>IF(B277="-","",IF(H277=D277,"Richtig!",IF(H277="","Fehlt","Falsch")))</f>
        <v>Fehlt</v>
      </c>
      <c r="J277" s="30" t="str">
        <f t="shared" si="27"/>
        <v>-</v>
      </c>
      <c r="K277" s="23">
        <f t="shared" si="25"/>
      </c>
      <c r="L277" s="24">
        <f t="shared" si="26"/>
      </c>
      <c r="N277" s="841"/>
    </row>
    <row r="278" spans="1:14" ht="12.75" hidden="1">
      <c r="A278" s="18"/>
      <c r="B278" s="36" t="str">
        <f>IF(MuKu!B38=""," - ",MID(MuKu!$B$28,1,1)&amp;MID(MuKu!$B$28,10,1)&amp;" - "&amp;MuKu!B38)</f>
        <v>VK - Schlachtung</v>
      </c>
      <c r="C278" s="18"/>
      <c r="D278" s="26">
        <f>IF('[2]E-MuKu'!$H38="","",'[2]E-MuKu'!$H38)</f>
        <v>41</v>
      </c>
      <c r="E278" s="27"/>
      <c r="F278" s="27"/>
      <c r="H278" s="39">
        <f>IF(MuKu!$H38="","",MuKu!$H38)</f>
        <v>41</v>
      </c>
      <c r="I278" s="29" t="str">
        <f>IF(B278="-","",IF(H278=D278,"Richtig!",IF(H278="","Fehlt","Falsch")))</f>
        <v>Richtig!</v>
      </c>
      <c r="J278" s="30" t="str">
        <f t="shared" si="27"/>
        <v>-</v>
      </c>
      <c r="K278" s="23">
        <f t="shared" si="25"/>
      </c>
      <c r="L278" s="24">
        <f t="shared" si="26"/>
      </c>
      <c r="N278" s="841"/>
    </row>
    <row r="279" spans="1:14" ht="12.75" hidden="1">
      <c r="A279" s="18"/>
      <c r="B279" s="36" t="str">
        <f>IF(MuKu!B39=""," - ",MID(MuKu!$B$28,1,1)&amp;MID(MuKu!$B$28,10,1)&amp;" - "&amp;MuKu!B39)</f>
        <v>VK - Mischpakete </v>
      </c>
      <c r="C279" s="18"/>
      <c r="D279" s="26">
        <f>IF('[2]E-MuKu'!$H39="","",'[2]E-MuKu'!$H39)</f>
        <v>33</v>
      </c>
      <c r="E279" s="27"/>
      <c r="F279" s="27"/>
      <c r="H279" s="39">
        <f>IF(MuKu!$H39="","",MuKu!$H39)</f>
        <v>33</v>
      </c>
      <c r="I279" s="29" t="str">
        <f>IF(B279="-","",IF(H279=D279,"Richtig!",IF(H279="","Fehlt","Falsch")))</f>
        <v>Richtig!</v>
      </c>
      <c r="J279" s="30" t="str">
        <f t="shared" si="27"/>
        <v>-</v>
      </c>
      <c r="K279" s="23">
        <f t="shared" si="25"/>
      </c>
      <c r="L279" s="24">
        <f t="shared" si="26"/>
      </c>
      <c r="N279" s="841"/>
    </row>
    <row r="280" spans="1:14" ht="12.75" hidden="1">
      <c r="A280" s="18"/>
      <c r="B280" s="36" t="str">
        <f>IF(MuKu!B40=""," - ",MuKu!B40)</f>
        <v>SUMME VK</v>
      </c>
      <c r="C280" s="18"/>
      <c r="D280" s="31">
        <f>IF('[2]E-MuKu'!$H40="","",'[2]E-MuKu'!$H40)</f>
        <v>402.09921333333335</v>
      </c>
      <c r="E280" s="27"/>
      <c r="F280" s="32">
        <f>IF(AND(H269="",H270="",H271="",H272="",H273="",H274="",H275="",H276="",H277="",H278="",H279=""),"-",SUM(H269:H279))</f>
        <v>263.5833333333333</v>
      </c>
      <c r="H280" s="40">
        <f>IF(MuKu!$H40="","",MuKu!$H40)</f>
      </c>
      <c r="I280" s="29" t="str">
        <f>IF(B280="-","",IF(H280=D280,"Richtig!",IF(AND(D280&lt;&gt;H280,F280=H280),"Formel: OK",IF(H280="","Fehlt","Falsch"))))</f>
        <v>Fehlt</v>
      </c>
      <c r="J280" s="30" t="str">
        <f t="shared" si="27"/>
        <v>-</v>
      </c>
      <c r="K280" s="23">
        <f t="shared" si="25"/>
      </c>
      <c r="L280" s="24">
        <f t="shared" si="26"/>
      </c>
      <c r="N280" s="841"/>
    </row>
    <row r="281" spans="1:14" ht="12.75" hidden="1">
      <c r="A281" s="18"/>
      <c r="B281" s="36" t="str">
        <f>IF(MuKu!B41=""," - ",MuKu!B41)</f>
        <v>DB ohne Grundfutterkosten und Förderungen</v>
      </c>
      <c r="C281" s="18"/>
      <c r="D281" s="31">
        <f>IF('[2]E-MuKu'!$H41="","",'[2]E-MuKu'!$H41)</f>
        <v>443.7634533333333</v>
      </c>
      <c r="E281" s="27"/>
      <c r="F281" s="32" t="str">
        <f>IF(OR(H265="",H280=""),"-",H265-H280)</f>
        <v>-</v>
      </c>
      <c r="H281" s="40">
        <f>IF(MuKu!$H41="","",MuKu!$H41)</f>
      </c>
      <c r="I281" s="29" t="str">
        <f>IF(B281="-","",IF(H281=D281,"Richtig!",IF(AND(D281&lt;&gt;H281,F281=H281),"Formel: OK",IF(H281="","Fehlt","Falsch"))))</f>
        <v>Fehlt</v>
      </c>
      <c r="J281" s="30" t="str">
        <f t="shared" si="27"/>
        <v>-</v>
      </c>
      <c r="K281" s="23">
        <f t="shared" si="25"/>
      </c>
      <c r="L281" s="24">
        <f t="shared" si="26"/>
      </c>
      <c r="N281" s="841"/>
    </row>
    <row r="282" spans="1:14" ht="12.75" hidden="1">
      <c r="A282" s="18"/>
      <c r="B282" s="36"/>
      <c r="C282" s="18"/>
      <c r="D282" s="34"/>
      <c r="E282" s="27"/>
      <c r="F282" s="27"/>
      <c r="H282" s="41"/>
      <c r="I282" s="29"/>
      <c r="J282" s="29"/>
      <c r="K282" s="23">
        <f t="shared" si="25"/>
      </c>
      <c r="L282" s="24">
        <f t="shared" si="26"/>
      </c>
      <c r="N282" s="842"/>
    </row>
    <row r="283" spans="1:14" ht="12.75" hidden="1">
      <c r="A283" s="17" t="s">
        <v>43</v>
      </c>
      <c r="B283" s="17"/>
      <c r="C283" s="18"/>
      <c r="D283" s="19"/>
      <c r="H283" s="17"/>
      <c r="I283" s="21"/>
      <c r="J283" s="21"/>
      <c r="K283" s="23">
        <f t="shared" si="25"/>
      </c>
      <c r="L283" s="24">
        <f t="shared" si="26"/>
      </c>
      <c r="N283" s="839"/>
    </row>
    <row r="284" spans="1:14" ht="12.75" hidden="1">
      <c r="A284" s="18"/>
      <c r="B284" s="36" t="str">
        <f>IF(MuKu!B43=""," - ",MuKu!B43)</f>
        <v>Variable Grundfutterkosten</v>
      </c>
      <c r="C284" s="18"/>
      <c r="D284" s="31">
        <f>IF('[2]E-MuKu'!$H44="","",'[2]E-MuKu'!$H44)</f>
        <v>384.016626426277</v>
      </c>
      <c r="E284" s="27"/>
      <c r="F284" s="32">
        <f>IF(OR(H256="",MuKu!E44=""),"-",H256*MuKu!E44)</f>
        <v>384.016626426277</v>
      </c>
      <c r="H284" s="40">
        <f>IF(MuKu!$H44="","",MuKu!$H44)</f>
        <v>384.016626426277</v>
      </c>
      <c r="I284" s="29" t="str">
        <f>IF(B284="-","",IF(H284=D284,"Richtig!",IF(AND(D284&lt;&gt;H284,F284=H284),"Formel: OK",IF(H284="","Fehlt","Falsch"))))</f>
        <v>Richtig!</v>
      </c>
      <c r="J284" s="30" t="str">
        <f>IF(OR(B284="-",N284="",AND(D284="",H284="")),"-",IF(I284="Richtig!",1,IF(I284="Formel: OK",0.5,IF(OR(I284="Falsch",I284="Fehlt"),0,""))))</f>
        <v>-</v>
      </c>
      <c r="K284" s="23">
        <f t="shared" si="25"/>
      </c>
      <c r="L284" s="24">
        <f t="shared" si="26"/>
      </c>
      <c r="N284" s="841"/>
    </row>
    <row r="285" spans="1:14" ht="12.75" hidden="1">
      <c r="A285" s="18"/>
      <c r="B285" s="36" t="str">
        <f>IF(MuKu!B45=""," - ",MuKu!B45)</f>
        <v>DB mit Grundfutterkosten</v>
      </c>
      <c r="C285" s="18"/>
      <c r="D285" s="31">
        <f>IF('[2]E-MuKu'!$H45="","",'[2]E-MuKu'!$H45)</f>
        <v>59.74682690705629</v>
      </c>
      <c r="E285" s="27"/>
      <c r="F285" s="32" t="str">
        <f>IF(OR(H281="",H284=""),"-",H281-H284)</f>
        <v>-</v>
      </c>
      <c r="H285" s="40" t="str">
        <f>IF(MuKu!$H45="","",MuKu!$H45)</f>
        <v>noch leer</v>
      </c>
      <c r="I285" s="29" t="str">
        <f>IF(B285="-","",IF(H285=D285,"Richtig!",IF(AND(D285&lt;&gt;H285,F285=H285),"Formel: OK",IF(H285="","Fehlt","Falsch"))))</f>
        <v>Falsch</v>
      </c>
      <c r="J285" s="30" t="str">
        <f>IF(OR(B285="-",N285="",AND(D285="",H285="")),"-",IF(I285="Richtig!",1,IF(I285="Formel: OK",0.5,IF(OR(I285="Falsch",I285="Fehlt"),0,""))))</f>
        <v>-</v>
      </c>
      <c r="K285" s="23">
        <f t="shared" si="25"/>
      </c>
      <c r="L285" s="24">
        <f t="shared" si="26"/>
      </c>
      <c r="N285" s="841"/>
    </row>
    <row r="286" spans="1:14" ht="12.75" hidden="1">
      <c r="A286" s="18"/>
      <c r="B286" s="18"/>
      <c r="C286" s="18"/>
      <c r="D286" s="19"/>
      <c r="H286" s="17"/>
      <c r="I286" s="21"/>
      <c r="J286" s="21"/>
      <c r="K286" s="23">
        <f t="shared" si="25"/>
      </c>
      <c r="L286" s="24">
        <f t="shared" si="26"/>
      </c>
      <c r="N286" s="842"/>
    </row>
    <row r="287" spans="1:14" ht="12.75" hidden="1">
      <c r="A287" s="17" t="s">
        <v>44</v>
      </c>
      <c r="B287" s="17"/>
      <c r="C287" s="18"/>
      <c r="D287" s="19"/>
      <c r="H287" s="17"/>
      <c r="I287" s="21"/>
      <c r="J287" s="21"/>
      <c r="K287" s="23">
        <f t="shared" si="25"/>
      </c>
      <c r="L287" s="24">
        <f t="shared" si="26"/>
      </c>
      <c r="N287" s="839"/>
    </row>
    <row r="288" spans="1:14" ht="12.75" hidden="1">
      <c r="A288" s="18"/>
      <c r="B288" s="36" t="str">
        <f>IF(MuKu!B48=""," - ",MuKu!B48)</f>
        <v>Mutterkuhprämie</v>
      </c>
      <c r="C288" s="18"/>
      <c r="D288" s="26">
        <f>IF('[2]E-MuKu'!$H48="","",'[2]E-MuKu'!$H48)</f>
        <v>230</v>
      </c>
      <c r="E288" s="27"/>
      <c r="F288" s="27"/>
      <c r="H288" s="39">
        <f>IF(MuKu!$H48="","",MuKu!$H48)</f>
        <v>230</v>
      </c>
      <c r="I288" s="29" t="str">
        <f>IF(AND(D288="",H288=""),"",IF(H288=D288,"Richtig!",IF(H288="","Fehlt","Falsch")))</f>
        <v>Richtig!</v>
      </c>
      <c r="J288" s="30" t="str">
        <f>IF(OR(B288="-",N288="",AND(D288="",H288="")),"-",IF(I288="Richtig!",1,IF(I288="Formel: OK",0.5,IF(OR(I288="Falsch",I288="Fehlt"),0,""))))</f>
        <v>-</v>
      </c>
      <c r="K288" s="23">
        <f t="shared" si="25"/>
      </c>
      <c r="L288" s="24">
        <f t="shared" si="26"/>
      </c>
      <c r="N288" s="841"/>
    </row>
    <row r="289" spans="1:14" ht="12.75" hidden="1">
      <c r="A289" s="18"/>
      <c r="B289" s="36" t="str">
        <f>IF(MuKu!B49=""," - ",MuKu!B49)</f>
        <v>Schlachtprämie</v>
      </c>
      <c r="C289" s="18"/>
      <c r="D289" s="26">
        <f>IF('[2]E-MuKu'!$H49="","",'[2]E-MuKu'!$H49)</f>
        <v>50</v>
      </c>
      <c r="E289" s="27"/>
      <c r="F289" s="27"/>
      <c r="H289" s="39">
        <f>IF(MuKu!$H49="","",MuKu!$H49)</f>
        <v>50</v>
      </c>
      <c r="I289" s="29" t="str">
        <f>IF(AND(D289="",H289=""),"",IF(H289=D289,"Richtig!",IF(H289="","Fehlt","Falsch")))</f>
        <v>Richtig!</v>
      </c>
      <c r="J289" s="30" t="str">
        <f>IF(OR(B289="-",N289="",AND(D289="",H289="")),"-",IF(I289="Richtig!",1,IF(I289="Formel: OK",0.5,IF(OR(I289="Falsch",I289="Fehlt"),0,""))))</f>
        <v>-</v>
      </c>
      <c r="K289" s="23">
        <f t="shared" si="25"/>
      </c>
      <c r="L289" s="24">
        <f t="shared" si="26"/>
      </c>
      <c r="N289" s="841"/>
    </row>
    <row r="290" spans="1:14" ht="12.75" hidden="1">
      <c r="A290" s="18"/>
      <c r="B290" s="36" t="str">
        <f>IF(MuKu!B50=""," - ",MuKu!B50)</f>
        <v>Gefährdete Tierrassen</v>
      </c>
      <c r="C290" s="18"/>
      <c r="D290" s="26">
        <f>IF('[2]E-MuKu'!$H50="","",'[2]E-MuKu'!$H50)</f>
        <v>20</v>
      </c>
      <c r="E290" s="27"/>
      <c r="F290" s="27"/>
      <c r="H290" s="39">
        <f>IF(MuKu!$H50="","",MuKu!$H50)</f>
        <v>20</v>
      </c>
      <c r="I290" s="29" t="str">
        <f>IF(AND(D290="",H290=""),"",IF(H290=D290,"Richtig!",IF(H290="","Fehlt","Falsch")))</f>
        <v>Richtig!</v>
      </c>
      <c r="J290" s="30" t="str">
        <f>IF(OR(B290="-",N290="",AND(D290="",H290="")),"-",IF(I290="Richtig!",1,IF(I290="Formel: OK",0.5,IF(OR(I290="Falsch",I290="Fehlt"),0,""))))</f>
        <v>-</v>
      </c>
      <c r="K290" s="23">
        <f t="shared" si="25"/>
      </c>
      <c r="L290" s="24">
        <f t="shared" si="26"/>
      </c>
      <c r="N290" s="841"/>
    </row>
    <row r="291" spans="1:14" ht="12.75" hidden="1">
      <c r="A291" s="18"/>
      <c r="B291" s="36" t="str">
        <f>IF(MuKu!B51=""," - ",MuKu!B51)</f>
        <v>DB inkl Förderungen für MUKUH</v>
      </c>
      <c r="C291" s="18"/>
      <c r="D291" s="31">
        <f>IF('[2]E-MuKu'!$H51="","",'[2]E-MuKu'!$H51)</f>
        <v>359.7468269070563</v>
      </c>
      <c r="E291" s="27"/>
      <c r="F291" s="32" t="str">
        <f>IF(OR(H285="noch leer",AND(H288="",H289="",H290="")),"-",H285+SUM(H288:H290))</f>
        <v>-</v>
      </c>
      <c r="H291" s="40">
        <f>IF(MuKu!$H51="noch leer","",MuKu!$H51)</f>
      </c>
      <c r="I291" s="29" t="str">
        <f>IF(B291="-","",IF(H291=D291,"Richtig!",IF(AND(D291&lt;&gt;H291,F291=H291),"Formel: OK",IF(H291="","Fehlt","Falsch"))))</f>
        <v>Fehlt</v>
      </c>
      <c r="J291" s="30" t="str">
        <f>IF(OR(B291="-",N291="",AND(D291="",H291="")),"-",IF(I291="Richtig!",1,IF(I291="Formel: OK",0.5,IF(OR(I291="Falsch",I291="Fehlt"),0,""))))</f>
        <v>-</v>
      </c>
      <c r="K291" s="23">
        <f t="shared" si="25"/>
      </c>
      <c r="L291" s="24">
        <f t="shared" si="26"/>
      </c>
      <c r="N291" s="841"/>
    </row>
    <row r="292" spans="1:14" ht="12.75" hidden="1">
      <c r="A292" s="18"/>
      <c r="B292" s="18"/>
      <c r="C292" s="18"/>
      <c r="D292" s="19"/>
      <c r="H292" s="17"/>
      <c r="I292" s="21"/>
      <c r="J292" s="21"/>
      <c r="K292" s="23">
        <f t="shared" si="25"/>
      </c>
      <c r="L292" s="24">
        <f t="shared" si="26"/>
      </c>
      <c r="N292" s="842"/>
    </row>
    <row r="293" spans="1:14" ht="12.75" hidden="1">
      <c r="A293" s="17" t="s">
        <v>45</v>
      </c>
      <c r="B293" s="17"/>
      <c r="C293" s="18"/>
      <c r="D293" s="19"/>
      <c r="H293" s="17"/>
      <c r="I293" s="21"/>
      <c r="J293" s="21"/>
      <c r="K293" s="23">
        <f t="shared" si="25"/>
      </c>
      <c r="L293" s="24">
        <f t="shared" si="26"/>
      </c>
      <c r="N293" s="839"/>
    </row>
    <row r="294" spans="1:14" ht="12.75" hidden="1">
      <c r="A294" s="18"/>
      <c r="B294" s="36" t="str">
        <f>IF(MuKu!D57=""," - ",MuKu!D57)</f>
        <v>Stallarbeit - gesamt</v>
      </c>
      <c r="C294" s="18"/>
      <c r="D294" s="26">
        <f>IF('[2]E-MuKu'!$E57="","",'[2]E-MuKu'!$E57)</f>
        <v>48</v>
      </c>
      <c r="E294" s="27"/>
      <c r="F294" s="27"/>
      <c r="H294" s="39">
        <f>IF(MuKu!$E57="","",MuKu!$E57)</f>
        <v>48</v>
      </c>
      <c r="I294" s="29" t="str">
        <f>IF(AND(D294="",H294=""),"",IF(H294=D294,"Richtig!",IF(H294="","Fehlt","Falsch")))</f>
        <v>Richtig!</v>
      </c>
      <c r="J294" s="30" t="str">
        <f>IF(OR(B294="-",N294="",AND(D294="",H294="")),"-",IF(I294="Richtig!",1,IF(I294="Formel: OK",0.5,IF(OR(I294="Falsch",I294="Fehlt"),0,""))))</f>
        <v>-</v>
      </c>
      <c r="K294" s="23">
        <f t="shared" si="25"/>
      </c>
      <c r="L294" s="24">
        <f t="shared" si="26"/>
      </c>
      <c r="N294" s="841"/>
    </row>
    <row r="295" spans="1:14" ht="12.75" hidden="1">
      <c r="A295" s="18"/>
      <c r="B295" s="36" t="s">
        <v>46</v>
      </c>
      <c r="C295" s="18"/>
      <c r="D295" s="31">
        <f>IF('[2]E-MuKu'!$H58="","",'[2]E-MuKu'!$H58)</f>
        <v>7.494725560563673</v>
      </c>
      <c r="E295" s="27"/>
      <c r="F295" s="32" t="str">
        <f>IF(OR(H291="",H294=""),"-",H291/H294)</f>
        <v>-</v>
      </c>
      <c r="H295" s="40">
        <f>IF(MuKu!$H58="","",MuKu!$H58)</f>
      </c>
      <c r="I295" s="29" t="str">
        <f>IF(B295="-","",IF(H295=D295,"Richtig!",IF(AND(D295&lt;&gt;H295,F295=H295),"Formel: OK",IF(H295="","Fehlt","Falsch"))))</f>
        <v>Fehlt</v>
      </c>
      <c r="J295" s="30" t="str">
        <f>IF(OR(B295="-",N295="",AND(D295="",H295="")),"-",IF(I295="Richtig!",1,IF(I295="Formel: OK",0.5,IF(OR(I295="Falsch",I295="Fehlt"),0,""))))</f>
        <v>-</v>
      </c>
      <c r="K295" s="23">
        <f t="shared" si="25"/>
      </c>
      <c r="L295" s="24">
        <f t="shared" si="26"/>
      </c>
      <c r="N295" s="841"/>
    </row>
    <row r="296" spans="1:14" ht="12.75" hidden="1">
      <c r="A296" s="18"/>
      <c r="C296" s="18"/>
      <c r="D296" s="19"/>
      <c r="H296" s="17"/>
      <c r="I296" s="21"/>
      <c r="J296" s="21"/>
      <c r="K296" s="23">
        <f t="shared" si="25"/>
      </c>
      <c r="L296" s="24">
        <f t="shared" si="26"/>
      </c>
      <c r="N296" s="842"/>
    </row>
    <row r="297" spans="1:12" ht="22.5">
      <c r="A297" s="10" t="s">
        <v>624</v>
      </c>
      <c r="B297" s="11"/>
      <c r="C297" s="12"/>
      <c r="D297" s="13" t="s">
        <v>4</v>
      </c>
      <c r="E297" s="13"/>
      <c r="F297" s="14" t="s">
        <v>5</v>
      </c>
      <c r="G297" s="12"/>
      <c r="H297" s="14" t="s">
        <v>6</v>
      </c>
      <c r="I297" s="15" t="str">
        <f>"Fehler"</f>
        <v>Fehler</v>
      </c>
      <c r="J297" s="16" t="s">
        <v>7</v>
      </c>
      <c r="K297" s="16"/>
      <c r="L297" s="16"/>
    </row>
    <row r="298" spans="1:12" ht="12.75">
      <c r="A298" s="17" t="s">
        <v>41</v>
      </c>
      <c r="B298" s="17"/>
      <c r="C298" s="18"/>
      <c r="D298" s="19"/>
      <c r="H298" s="17"/>
      <c r="I298" s="21"/>
      <c r="J298" s="21"/>
      <c r="K298" s="23">
        <f aca="true" t="shared" si="28" ref="K298:K332">IF(L298="","","│")</f>
      </c>
      <c r="L298" s="24">
        <f aca="true" t="shared" si="29" ref="L298:L332">IF(OR(B298="-",N298="",AND(D298="",H298="")),"",1)</f>
      </c>
    </row>
    <row r="299" spans="2:14" ht="12.75" customHeight="1" hidden="1">
      <c r="B299" s="25" t="str">
        <f>IF(Lamm!B39=""," - ",Lamm!$B$37&amp;" - "&amp;Lamm!B39)</f>
        <v>Rohertrag - Lamm</v>
      </c>
      <c r="C299" s="18"/>
      <c r="D299" s="26">
        <f>IF('[2]E-Lamm'!$H39="","",'[2]E-Lamm'!$H39)</f>
        <v>165.55</v>
      </c>
      <c r="E299" s="27"/>
      <c r="F299" s="27"/>
      <c r="H299" s="919">
        <f>IF(Lamm!$H39="","",Lamm!$H39)</f>
        <v>165.55</v>
      </c>
      <c r="I299" s="29" t="str">
        <f>IF(B299="-","",IF(H299=D299,"Richtig!",IF(AND(D299&lt;&gt;H299,F299=H299),"Formel: OK",IF(H299="","Fehlt","Falsch"))))</f>
        <v>Richtig!</v>
      </c>
      <c r="J299" s="30" t="str">
        <f>IF(OR(B299="-",N299="",AND(D299="",H299="")),"-",IF(I299="Richtig!",1,IF(I299="Formel: OK",0.5,IF(OR(I299="Falsch",I299="Fehlt"),0,""))))</f>
        <v>-</v>
      </c>
      <c r="K299" s="23">
        <f t="shared" si="28"/>
      </c>
      <c r="L299" s="24">
        <f t="shared" si="29"/>
      </c>
      <c r="N299" s="918"/>
    </row>
    <row r="300" spans="2:14" ht="12.75" customHeight="1" hidden="1">
      <c r="B300" s="25" t="str">
        <f>IF(Lamm!B40=""," - ",Lamm!$B$37&amp;" - "&amp;Lamm!B40)</f>
        <v>Rohertrag - Altschaf</v>
      </c>
      <c r="C300" s="18"/>
      <c r="D300" s="26">
        <f>IF('[2]E-Lamm'!$H40="","",'[2]E-Lamm'!$H40)</f>
        <v>15.6</v>
      </c>
      <c r="E300" s="27"/>
      <c r="F300" s="27"/>
      <c r="H300" s="919">
        <f>IF(Lamm!$H40="","",Lamm!$H40)</f>
        <v>15.6</v>
      </c>
      <c r="I300" s="29" t="str">
        <f>IF(B300="-","",IF(H300=D300,"Richtig!",IF(AND(D300&lt;&gt;H300,F300=H300),"Formel: OK",IF(H300="","Fehlt","Falsch"))))</f>
        <v>Richtig!</v>
      </c>
      <c r="J300" s="30" t="str">
        <f>IF(OR(B300="-",N300="",AND(D300="",H300="")),"-",IF(I300="Richtig!",1,IF(I300="Formel: OK",0.5,IF(OR(I300="Falsch",I300="Fehlt"),0,""))))</f>
        <v>-</v>
      </c>
      <c r="K300" s="23">
        <f t="shared" si="28"/>
      </c>
      <c r="L300" s="24">
        <f t="shared" si="29"/>
      </c>
      <c r="N300" s="918"/>
    </row>
    <row r="301" spans="2:14" ht="12.75" customHeight="1" hidden="1">
      <c r="B301" s="25" t="str">
        <f>IF(Lamm!B41=""," - ",Lamm!$B$37&amp;" - "&amp;Lamm!B41)</f>
        <v>Rohertrag - Wolle</v>
      </c>
      <c r="C301" s="18"/>
      <c r="D301" s="26">
        <f>IF('[2]E-Lamm'!$H41="","",'[2]E-Lamm'!$H41)</f>
        <v>2.25</v>
      </c>
      <c r="E301" s="27"/>
      <c r="F301" s="27"/>
      <c r="H301" s="919">
        <f>IF(Lamm!$H41="","",Lamm!$H41)</f>
        <v>2.25</v>
      </c>
      <c r="I301" s="29" t="str">
        <f>IF(B301="-","",IF(H301=D301,"Richtig!",IF(AND(D301&lt;&gt;H301,F301=H301),"Formel: OK",IF(H301="","Fehlt","Falsch"))))</f>
        <v>Richtig!</v>
      </c>
      <c r="J301" s="30" t="str">
        <f>IF(OR(B301="-",N301="",AND(D301="",H301="")),"-",IF(I301="Richtig!",1,IF(I301="Formel: OK",0.5,IF(OR(I301="Falsch",I301="Fehlt"),0,""))))</f>
        <v>-</v>
      </c>
      <c r="K301" s="23">
        <f t="shared" si="28"/>
      </c>
      <c r="L301" s="24">
        <f t="shared" si="29"/>
      </c>
      <c r="N301" s="918"/>
    </row>
    <row r="302" spans="2:14" ht="12.75">
      <c r="B302" s="36" t="str">
        <f>IF(Lamm!B42=""," - ",Lamm!B42)</f>
        <v>Summe Rohertrag</v>
      </c>
      <c r="C302" s="18"/>
      <c r="D302" s="31">
        <f>IF('[2]E-Lamm'!$H42="","",'[2]E-Lamm'!$H42)</f>
        <v>183.4</v>
      </c>
      <c r="E302" s="27"/>
      <c r="F302" s="32">
        <f>IF(AND(H299="",H300="",H301=""),"-",SUM(H299:H301))</f>
        <v>183.4</v>
      </c>
      <c r="H302" s="40">
        <f>IF(Lamm!$H42="","",Lamm!$H42)</f>
      </c>
      <c r="I302" s="29" t="str">
        <f>IF(B302="-","",IF(H302=D302,"Richtig!",IF(AND(D302&lt;&gt;H302,F302=H302),"Formel: OK",IF(H302="","Fehlt","Falsch"))))</f>
        <v>Fehlt</v>
      </c>
      <c r="J302" s="30">
        <f>IF(OR(B302="-",N302="",AND(D302="",H302="")),"-",IF(I302="Richtig!",1,IF(I302="Formel: OK",0.5,IF(OR(I302="Falsch",I302="Fehlt"),0,""))))</f>
        <v>0</v>
      </c>
      <c r="K302" s="23" t="str">
        <f t="shared" si="28"/>
        <v>│</v>
      </c>
      <c r="L302" s="24">
        <f t="shared" si="29"/>
        <v>1</v>
      </c>
      <c r="N302" s="918" t="s">
        <v>11</v>
      </c>
    </row>
    <row r="303" spans="1:12" ht="12.75">
      <c r="A303" s="18"/>
      <c r="B303" s="18"/>
      <c r="C303" s="18"/>
      <c r="D303" s="34"/>
      <c r="E303" s="27"/>
      <c r="F303" s="27"/>
      <c r="H303" s="41"/>
      <c r="I303" s="29"/>
      <c r="J303" s="29"/>
      <c r="K303" s="23">
        <f t="shared" si="28"/>
      </c>
      <c r="L303" s="24">
        <f t="shared" si="29"/>
      </c>
    </row>
    <row r="304" spans="1:12" ht="12.75">
      <c r="A304" s="17" t="s">
        <v>42</v>
      </c>
      <c r="B304" s="17"/>
      <c r="C304" s="18"/>
      <c r="D304" s="19"/>
      <c r="H304" s="17"/>
      <c r="I304" s="21"/>
      <c r="J304" s="21"/>
      <c r="K304" s="23">
        <f t="shared" si="28"/>
      </c>
      <c r="L304" s="24">
        <f t="shared" si="29"/>
      </c>
    </row>
    <row r="305" spans="1:14" ht="12.75" customHeight="1" hidden="1">
      <c r="A305" s="18"/>
      <c r="B305" s="36" t="str">
        <f>IF(Lamm!B45=""," - ",Lamm!B45&amp;" - "&amp;Lamm!D44)</f>
        <v>Bestandeserg. Schaf - Menge</v>
      </c>
      <c r="C305" s="18"/>
      <c r="D305" s="26">
        <f>IF('[2]E-Lamm'!$D45="","",'[2]E-Lamm'!$D45)</f>
        <v>0.2</v>
      </c>
      <c r="E305" s="27"/>
      <c r="F305" s="27"/>
      <c r="H305" s="39">
        <f>IF(Lamm!$D45="","",Lamm!$D45)</f>
        <v>0.2</v>
      </c>
      <c r="I305" s="29" t="str">
        <f>IF(B305="-","",IF(H305=D305,"Richtig!",IF(H305="","Fehlt","Falsch")))</f>
        <v>Richtig!</v>
      </c>
      <c r="J305" s="30" t="str">
        <f aca="true" t="shared" si="30" ref="J305:J317">IF(OR(B305="-",N305="",AND(D305="",H305="")),"-",IF(I305="Richtig!",1,IF(I305="Formel: OK",0.5,IF(OR(I305="Falsch",I305="Fehlt"),0,""))))</f>
        <v>-</v>
      </c>
      <c r="K305" s="23">
        <f t="shared" si="28"/>
      </c>
      <c r="L305" s="24">
        <f t="shared" si="29"/>
      </c>
      <c r="N305" s="918"/>
    </row>
    <row r="306" spans="1:14" ht="12.75" customHeight="1" hidden="1">
      <c r="A306" s="18"/>
      <c r="B306" s="36" t="str">
        <f>IF(Lamm!B45=""," - ",MID(Lamm!$B$44,1,1)&amp;MID(Lamm!$B$44,10,1)&amp;" - "&amp;Lamm!B45)</f>
        <v>VK - Bestandeserg. Schaf</v>
      </c>
      <c r="C306" s="18"/>
      <c r="D306" s="31">
        <f>IF('[2]E-Lamm'!$H45="","",'[2]E-Lamm'!$H45)</f>
        <v>1.4</v>
      </c>
      <c r="E306" s="27"/>
      <c r="F306" s="32">
        <f>IF(OR(H299=""),"-",Lamm!$E$45*H305)</f>
        <v>1.4000000000000001</v>
      </c>
      <c r="H306" s="40">
        <f>IF(Lamm!$H45="","",Lamm!$H45)</f>
        <v>1.4000000000000001</v>
      </c>
      <c r="I306" s="29" t="str">
        <f>IF(B306="-","",IF(H306=D306,"Richtig!",IF(AND(D306&lt;&gt;H306,F306=H306),"Formel: OK",IF(H306="","Fehlt","Falsch"))))</f>
        <v>Richtig!</v>
      </c>
      <c r="J306" s="30" t="str">
        <f t="shared" si="30"/>
        <v>-</v>
      </c>
      <c r="K306" s="23">
        <f t="shared" si="28"/>
      </c>
      <c r="L306" s="24">
        <f t="shared" si="29"/>
      </c>
      <c r="N306" s="918"/>
    </row>
    <row r="307" spans="1:14" ht="12.75">
      <c r="A307" s="18"/>
      <c r="B307" s="36" t="str">
        <f>IF(Lamm!B46=""," - ",MID(Lamm!$B$44,1,1)&amp;MID(Lamm!$B$44,10,1)&amp;" - "&amp;Lamm!B46)</f>
        <v>VK - Kraftfutter Lamm</v>
      </c>
      <c r="C307" s="18"/>
      <c r="D307" s="26">
        <f>IF('[2]E-Lamm'!$H46="","",'[2]E-Lamm'!$H46)</f>
        <v>8.75</v>
      </c>
      <c r="E307" s="27"/>
      <c r="F307" s="27"/>
      <c r="H307" s="39">
        <f>IF(Lamm!$H46="","",Lamm!$H46)</f>
      </c>
      <c r="I307" s="29" t="str">
        <f>IF(B307="-","",IF(H307=D307,"Richtig!",IF(H307="","Fehlt","Falsch")))</f>
        <v>Fehlt</v>
      </c>
      <c r="J307" s="30">
        <f t="shared" si="30"/>
        <v>0</v>
      </c>
      <c r="K307" s="23" t="str">
        <f t="shared" si="28"/>
        <v>│</v>
      </c>
      <c r="L307" s="24">
        <f t="shared" si="29"/>
        <v>1</v>
      </c>
      <c r="N307" s="918" t="s">
        <v>11</v>
      </c>
    </row>
    <row r="308" spans="1:14" ht="12.75">
      <c r="A308" s="18"/>
      <c r="B308" s="36" t="str">
        <f>IF(Lamm!B47=""," - ",MID(Lamm!$B$44,1,1)&amp;MID(Lamm!$B$44,10,1)&amp;" - "&amp;Lamm!B47)</f>
        <v>VK - Kraftfutter Schaf</v>
      </c>
      <c r="C308" s="18"/>
      <c r="D308" s="26">
        <f>IF('[2]E-Lamm'!$H47="","",'[2]E-Lamm'!$H47)</f>
        <v>11.76</v>
      </c>
      <c r="E308" s="27"/>
      <c r="F308" s="27"/>
      <c r="H308" s="39">
        <f>IF(Lamm!$H47="","",Lamm!$H47)</f>
      </c>
      <c r="I308" s="29" t="str">
        <f>IF(B308="-","",IF(H308=D308,"Richtig!",IF(H308="","Fehlt","Falsch")))</f>
        <v>Fehlt</v>
      </c>
      <c r="J308" s="30">
        <f t="shared" si="30"/>
        <v>0</v>
      </c>
      <c r="K308" s="23" t="str">
        <f t="shared" si="28"/>
        <v>│</v>
      </c>
      <c r="L308" s="24">
        <f t="shared" si="29"/>
        <v>1</v>
      </c>
      <c r="N308" s="918" t="s">
        <v>11</v>
      </c>
    </row>
    <row r="309" spans="1:14" ht="12.75" customHeight="1">
      <c r="A309" s="18"/>
      <c r="B309" s="36" t="str">
        <f>IF(Lamm!B48=""," - ",MID(Lamm!$B$44,1,1)&amp;MID(Lamm!$B$44,10,1)&amp;" - "&amp;Lamm!B48)</f>
        <v>VK - Mineralstoffe</v>
      </c>
      <c r="C309" s="18"/>
      <c r="D309" s="26">
        <f>IF('[2]E-Lamm'!$H48="","",'[2]E-Lamm'!$H48)</f>
        <v>8</v>
      </c>
      <c r="E309" s="27"/>
      <c r="F309" s="27"/>
      <c r="H309" s="39">
        <f>IF(Lamm!$H48="","",Lamm!$H48)</f>
      </c>
      <c r="I309" s="29" t="str">
        <f>IF(B309="-","",IF(H309=D309,"Richtig!",IF(H309="","Fehlt","Falsch")))</f>
        <v>Fehlt</v>
      </c>
      <c r="J309" s="30">
        <f t="shared" si="30"/>
        <v>0</v>
      </c>
      <c r="K309" s="23" t="str">
        <f t="shared" si="28"/>
        <v>│</v>
      </c>
      <c r="L309" s="24">
        <f t="shared" si="29"/>
        <v>1</v>
      </c>
      <c r="N309" s="918" t="s">
        <v>11</v>
      </c>
    </row>
    <row r="310" spans="1:14" ht="12.75" customHeight="1">
      <c r="A310" s="18"/>
      <c r="B310" s="36" t="str">
        <f>IF(Lamm!B49=""," - ",MID(Lamm!$B$44,1,1)&amp;MID(Lamm!$B$44,10,1)&amp;" - "&amp;Lamm!B49)</f>
        <v>VK - Tiergesundheit</v>
      </c>
      <c r="C310" s="18"/>
      <c r="D310" s="26">
        <f>IF('[2]E-Lamm'!$H49="","",'[2]E-Lamm'!$H49)</f>
        <v>14</v>
      </c>
      <c r="E310" s="27"/>
      <c r="F310" s="27"/>
      <c r="H310" s="39">
        <f>IF(Lamm!$H49="","",Lamm!$H49)</f>
      </c>
      <c r="I310" s="29" t="str">
        <f>IF(B310="-","",IF(H310=D310,"Richtig!",IF(H310="","Fehlt","Falsch")))</f>
        <v>Fehlt</v>
      </c>
      <c r="J310" s="30">
        <f t="shared" si="30"/>
        <v>0</v>
      </c>
      <c r="K310" s="23" t="str">
        <f t="shared" si="28"/>
        <v>│</v>
      </c>
      <c r="L310" s="24">
        <f t="shared" si="29"/>
        <v>1</v>
      </c>
      <c r="N310" s="918" t="s">
        <v>11</v>
      </c>
    </row>
    <row r="311" spans="1:14" ht="12.75" customHeight="1">
      <c r="A311" s="18"/>
      <c r="B311" s="36" t="str">
        <f>IF(Lamm!B50=""," - ",MID(Lamm!$B$44,1,1)&amp;MID(Lamm!$B$44,10,1)&amp;" - "&amp;Lamm!B50)</f>
        <v>VK - Bockabwertung</v>
      </c>
      <c r="C311" s="18"/>
      <c r="D311" s="31">
        <f>IF('[2]E-Lamm'!$H50="","",'[2]E-Lamm'!$H50)</f>
        <v>2.923076923076923</v>
      </c>
      <c r="E311" s="27"/>
      <c r="F311" s="32" t="str">
        <f>IF(OR(H302="",Lamm!E50=""),"-",H302*Lamm!E50)</f>
        <v>-</v>
      </c>
      <c r="H311" s="40">
        <f>IF(Lamm!$H50="","",Lamm!$H50)</f>
      </c>
      <c r="I311" s="29" t="str">
        <f>IF(B311="-","",IF(H311=D311,"Richtig!",IF(AND(D311&lt;&gt;H311,F311=H311),"Formel: OK",IF(H311="","Fehlt","Falsch"))))</f>
        <v>Fehlt</v>
      </c>
      <c r="J311" s="30">
        <f t="shared" si="30"/>
        <v>0</v>
      </c>
      <c r="K311" s="23" t="str">
        <f t="shared" si="28"/>
        <v>│</v>
      </c>
      <c r="L311" s="24">
        <f t="shared" si="29"/>
        <v>1</v>
      </c>
      <c r="N311" s="918" t="s">
        <v>11</v>
      </c>
    </row>
    <row r="312" spans="1:14" ht="12.75" customHeight="1">
      <c r="A312" s="18"/>
      <c r="B312" s="36" t="str">
        <f>IF(Lamm!B51=""," - ",MID(Lamm!$B$44,1,1)&amp;MID(Lamm!$B$44,10,1)&amp;" - "&amp;Lamm!B51)</f>
        <v>VK - Vermarktung, div.Gebühren</v>
      </c>
      <c r="C312" s="18"/>
      <c r="D312" s="26">
        <f>IF('[2]E-Lamm'!$H51="","",'[2]E-Lamm'!$H51)</f>
        <v>42</v>
      </c>
      <c r="E312" s="27"/>
      <c r="F312" s="27"/>
      <c r="H312" s="39">
        <f>IF(Lamm!$H51="","",Lamm!$H51)</f>
      </c>
      <c r="I312" s="29" t="str">
        <f>IF(B312="-","",IF(H312=D312,"Richtig!",IF(H312="","Fehlt","Falsch")))</f>
        <v>Fehlt</v>
      </c>
      <c r="J312" s="30">
        <f t="shared" si="30"/>
        <v>0</v>
      </c>
      <c r="K312" s="23" t="str">
        <f t="shared" si="28"/>
        <v>│</v>
      </c>
      <c r="L312" s="24">
        <f t="shared" si="29"/>
        <v>1</v>
      </c>
      <c r="N312" s="918" t="s">
        <v>11</v>
      </c>
    </row>
    <row r="313" spans="1:14" ht="12.75" customHeight="1" hidden="1">
      <c r="A313" s="18"/>
      <c r="B313" s="36" t="str">
        <f>IF(Lamm!B52=""," - ",MID(Lamm!$B$44,1,1)&amp;MID(Lamm!$B$44,10,1)&amp;" - "&amp;Lamm!B52)</f>
        <v>VK - Einstreu (180 Tage Stallhaltung)</v>
      </c>
      <c r="C313" s="18"/>
      <c r="D313" s="26">
        <f>IF('[2]E-Lamm'!$H52="","",'[2]E-Lamm'!$H52)</f>
        <v>13.77</v>
      </c>
      <c r="E313" s="27"/>
      <c r="F313" s="27"/>
      <c r="H313" s="39">
        <f>IF(Lamm!$H52="","",Lamm!$H52)</f>
        <v>13.77</v>
      </c>
      <c r="I313" s="29" t="str">
        <f>IF(B313="-","",IF(H313=D313,"Richtig!",IF(H313="","Fehlt","Falsch")))</f>
        <v>Richtig!</v>
      </c>
      <c r="J313" s="30" t="str">
        <f t="shared" si="30"/>
        <v>-</v>
      </c>
      <c r="K313" s="23">
        <f t="shared" si="28"/>
      </c>
      <c r="L313" s="24">
        <f t="shared" si="29"/>
      </c>
      <c r="N313" s="918"/>
    </row>
    <row r="314" spans="1:14" ht="12.75" customHeight="1" hidden="1">
      <c r="A314" s="18"/>
      <c r="B314" s="36" t="str">
        <f>IF(Lamm!B53=""," - ",MID(Lamm!$B$44,1,1)&amp;MID(Lamm!$B$44,10,1)&amp;" - "&amp;Lamm!B53)</f>
        <v>VK - Schafschur</v>
      </c>
      <c r="C314" s="18"/>
      <c r="D314" s="26">
        <f>IF('[2]E-Lamm'!$H53="","",'[2]E-Lamm'!$H53)</f>
        <v>6</v>
      </c>
      <c r="E314" s="27"/>
      <c r="F314" s="27"/>
      <c r="H314" s="39">
        <f>IF(Lamm!$H53="","",Lamm!$H53)</f>
        <v>6</v>
      </c>
      <c r="I314" s="29" t="str">
        <f>IF(B314="-","",IF(H314=D314,"Richtig!",IF(H314="","Fehlt","Falsch")))</f>
        <v>Richtig!</v>
      </c>
      <c r="J314" s="30" t="str">
        <f t="shared" si="30"/>
        <v>-</v>
      </c>
      <c r="K314" s="23">
        <f t="shared" si="28"/>
      </c>
      <c r="L314" s="24">
        <f t="shared" si="29"/>
      </c>
      <c r="N314" s="918"/>
    </row>
    <row r="315" spans="1:14" ht="12.75" customHeight="1" hidden="1">
      <c r="A315" s="18"/>
      <c r="B315" s="36" t="str">
        <f>IF(Lamm!B54=""," - ",MID(Lamm!$B$44,1,1)&amp;MID(Lamm!$B$44,10,1)&amp;" - "&amp;Lamm!B54)</f>
        <v>VK - Sonstiges</v>
      </c>
      <c r="C315" s="18"/>
      <c r="D315" s="26">
        <f>IF('[2]E-Lamm'!$H54="","",'[2]E-Lamm'!$H54)</f>
        <v>15</v>
      </c>
      <c r="E315" s="27"/>
      <c r="F315" s="27"/>
      <c r="H315" s="39">
        <f>IF(Lamm!$H54="","",Lamm!$H54)</f>
        <v>15</v>
      </c>
      <c r="I315" s="29" t="str">
        <f>IF(B315="-","",IF(H315=D315,"Richtig!",IF(H315="","Fehlt","Falsch")))</f>
        <v>Richtig!</v>
      </c>
      <c r="J315" s="30" t="str">
        <f t="shared" si="30"/>
        <v>-</v>
      </c>
      <c r="K315" s="23">
        <f t="shared" si="28"/>
      </c>
      <c r="L315" s="24">
        <f t="shared" si="29"/>
      </c>
      <c r="N315" s="918"/>
    </row>
    <row r="316" spans="1:14" ht="12.75">
      <c r="A316" s="18"/>
      <c r="B316" s="36" t="str">
        <f>IF(Lamm!B55=""," - ",Lamm!B55)</f>
        <v>Summe VK</v>
      </c>
      <c r="C316" s="18"/>
      <c r="D316" s="31">
        <f>IF('[2]E-Lamm'!$H55="","",'[2]E-Lamm'!$H55)</f>
        <v>123.60307692307691</v>
      </c>
      <c r="E316" s="27"/>
      <c r="F316" s="32">
        <f>IF(AND(H306="",H307="",H308="",H309="",H310="",H311="",H312="",H313="",H314="",H315="",),"-",SUM(H306:H315))</f>
        <v>36.17</v>
      </c>
      <c r="H316" s="40">
        <f>IF(Lamm!$H55="","",Lamm!$H55)</f>
      </c>
      <c r="I316" s="29" t="str">
        <f>IF(B316="-","",IF(H316=D316,"Richtig!",IF(AND(D316&lt;&gt;H316,F316=H316),"Formel: OK",IF(H316="","Fehlt","Falsch"))))</f>
        <v>Fehlt</v>
      </c>
      <c r="J316" s="30">
        <f t="shared" si="30"/>
        <v>0</v>
      </c>
      <c r="K316" s="23" t="str">
        <f t="shared" si="28"/>
        <v>│</v>
      </c>
      <c r="L316" s="24">
        <f t="shared" si="29"/>
        <v>1</v>
      </c>
      <c r="N316" s="918" t="s">
        <v>11</v>
      </c>
    </row>
    <row r="317" spans="1:14" ht="12.75">
      <c r="A317" s="18"/>
      <c r="B317" s="36" t="str">
        <f>IF(Lamm!B56=""," - ",Lamm!B56)</f>
        <v>Deckungsbeitrag</v>
      </c>
      <c r="C317" s="18"/>
      <c r="D317" s="31">
        <f>IF('[2]E-Lamm'!$H56="","",'[2]E-Lamm'!$H56)</f>
        <v>59.79692307692309</v>
      </c>
      <c r="E317" s="27"/>
      <c r="F317" s="32" t="str">
        <f>IF(OR(H302="",H316=""),"-",H302-H316)</f>
        <v>-</v>
      </c>
      <c r="H317" s="40">
        <f>IF(Lamm!$H56="","",Lamm!$H56)</f>
      </c>
      <c r="I317" s="29" t="str">
        <f>IF(B317="-","",IF(H317=D317,"Richtig!",IF(AND(D317&lt;&gt;H317,F317=H317),"Formel: OK",IF(H317="","Fehlt","Falsch"))))</f>
        <v>Fehlt</v>
      </c>
      <c r="J317" s="30">
        <f t="shared" si="30"/>
        <v>0</v>
      </c>
      <c r="K317" s="23" t="str">
        <f t="shared" si="28"/>
        <v>│</v>
      </c>
      <c r="L317" s="24">
        <f t="shared" si="29"/>
        <v>1</v>
      </c>
      <c r="N317" s="918" t="s">
        <v>11</v>
      </c>
    </row>
    <row r="318" spans="1:12" ht="12.75">
      <c r="A318" s="18"/>
      <c r="B318" s="36"/>
      <c r="C318" s="18"/>
      <c r="D318" s="34"/>
      <c r="E318" s="27"/>
      <c r="F318" s="27"/>
      <c r="H318" s="41"/>
      <c r="I318" s="29"/>
      <c r="J318" s="29"/>
      <c r="K318" s="23">
        <f t="shared" si="28"/>
      </c>
      <c r="L318" s="24">
        <f t="shared" si="29"/>
      </c>
    </row>
    <row r="319" spans="1:12" ht="12.75">
      <c r="A319" s="17" t="s">
        <v>43</v>
      </c>
      <c r="B319" s="17"/>
      <c r="C319" s="18"/>
      <c r="D319" s="19"/>
      <c r="H319" s="17"/>
      <c r="I319" s="21"/>
      <c r="J319" s="21"/>
      <c r="K319" s="23">
        <f t="shared" si="28"/>
      </c>
      <c r="L319" s="24">
        <f t="shared" si="29"/>
      </c>
    </row>
    <row r="320" spans="1:14" ht="12.75" customHeight="1" hidden="1">
      <c r="A320" s="18"/>
      <c r="B320" s="36" t="str">
        <f>IF(Lamm!B58=""," - ",Lamm!B58)</f>
        <v>Variable Grundfutterkosten</v>
      </c>
      <c r="C320" s="18"/>
      <c r="D320" s="26">
        <f>IF('[2]E-Lamm'!$H59="","",'[2]E-Lamm'!$H59)</f>
        <v>44.61600000000001</v>
      </c>
      <c r="E320" s="27"/>
      <c r="H320" s="919">
        <f>IF(Lamm!$H59="","",Lamm!$H59)</f>
        <v>44.61600000000001</v>
      </c>
      <c r="I320" s="29" t="str">
        <f>IF(B320="-","",IF(H320=D320,"Richtig!",IF(AND(D320&lt;&gt;H320,F320=H320),"Formel: OK",IF(H320="","Fehlt","Falsch"))))</f>
        <v>Richtig!</v>
      </c>
      <c r="J320" s="30" t="str">
        <f>IF(OR(B320="-",N320="",AND(D320="",H320="")),"-",IF(I320="Richtig!",1,IF(I320="Formel: OK",0.5,IF(OR(I320="Falsch",I320="Fehlt"),0,""))))</f>
        <v>-</v>
      </c>
      <c r="K320" s="23">
        <f t="shared" si="28"/>
      </c>
      <c r="L320" s="24">
        <f t="shared" si="29"/>
      </c>
      <c r="N320" s="918"/>
    </row>
    <row r="321" spans="1:14" ht="12.75">
      <c r="A321" s="18"/>
      <c r="B321" s="36" t="str">
        <f>IF(Lamm!B60=""," - ",Lamm!B60)</f>
        <v>DB mit Grundfutterkosten</v>
      </c>
      <c r="C321" s="18"/>
      <c r="D321" s="31">
        <f>IF('[2]E-Lamm'!$H60="","",'[2]E-Lamm'!$H60)</f>
        <v>15.180923076923087</v>
      </c>
      <c r="E321" s="27"/>
      <c r="F321" s="32" t="str">
        <f>IF(OR(H317="",H320=""),"-",H317-H320)</f>
        <v>-</v>
      </c>
      <c r="H321" s="40">
        <f>IF(Lamm!$H60="","",Lamm!$H60)</f>
      </c>
      <c r="I321" s="29" t="str">
        <f>IF(B321="-","",IF(H321=D321,"Richtig!",IF(AND(D321&lt;&gt;H321,F321=H321),"Formel: OK",IF(H321="","Fehlt","Falsch"))))</f>
        <v>Fehlt</v>
      </c>
      <c r="J321" s="30">
        <f>IF(OR(B321="-",N321="",AND(D321="",H321="")),"-",IF(I321="Richtig!",1,IF(I321="Formel: OK",0.5,IF(OR(I321="Falsch",I321="Fehlt"),0,""))))</f>
        <v>0</v>
      </c>
      <c r="K321" s="23" t="str">
        <f t="shared" si="28"/>
        <v>│</v>
      </c>
      <c r="L321" s="24">
        <f t="shared" si="29"/>
        <v>1</v>
      </c>
      <c r="N321" s="918" t="s">
        <v>11</v>
      </c>
    </row>
    <row r="322" spans="1:12" ht="12.75">
      <c r="A322" s="18"/>
      <c r="B322" s="18"/>
      <c r="C322" s="18"/>
      <c r="D322" s="19"/>
      <c r="H322" s="17"/>
      <c r="I322" s="21"/>
      <c r="J322" s="21"/>
      <c r="K322" s="23">
        <f t="shared" si="28"/>
      </c>
      <c r="L322" s="24">
        <f t="shared" si="29"/>
      </c>
    </row>
    <row r="323" spans="1:12" ht="12.75">
      <c r="A323" s="17" t="s">
        <v>44</v>
      </c>
      <c r="B323" s="17"/>
      <c r="C323" s="18"/>
      <c r="D323" s="19"/>
      <c r="H323" s="17"/>
      <c r="I323" s="21"/>
      <c r="J323" s="21"/>
      <c r="K323" s="23">
        <f t="shared" si="28"/>
      </c>
      <c r="L323" s="24">
        <f t="shared" si="29"/>
      </c>
    </row>
    <row r="324" spans="1:14" ht="12.75" customHeight="1" hidden="1">
      <c r="A324" s="18"/>
      <c r="B324" s="36" t="str">
        <f>IF(Lamm!B63=""," - ",Lamm!B63)</f>
        <v>Mutterschafprämie</v>
      </c>
      <c r="C324" s="18"/>
      <c r="D324" s="26">
        <f>IF('[2]E-Lamm'!$H63="","",'[2]E-Lamm'!$H63)</f>
        <v>22.7</v>
      </c>
      <c r="E324" s="27"/>
      <c r="F324" s="27"/>
      <c r="H324" s="39">
        <f>IF(Lamm!$H63="","",Lamm!$H63)</f>
        <v>22.7</v>
      </c>
      <c r="I324" s="29" t="str">
        <f>IF(AND(D324="",H324=""),"",IF(H324=D324,"Richtig!",IF(H324="","Fehlt","Falsch")))</f>
        <v>Richtig!</v>
      </c>
      <c r="J324" s="30" t="str">
        <f>IF(OR(B324="-",N324="",AND(D324="",H324="")),"-",IF(I324="Richtig!",1,IF(I324="Formel: OK",0.5,IF(OR(I324="Falsch",I324="Fehlt"),0,""))))</f>
        <v>-</v>
      </c>
      <c r="K324" s="23">
        <f t="shared" si="28"/>
      </c>
      <c r="L324" s="24">
        <f t="shared" si="29"/>
      </c>
      <c r="N324" s="918"/>
    </row>
    <row r="325" spans="1:14" ht="12.75" customHeight="1" hidden="1">
      <c r="A325" s="18"/>
      <c r="B325" s="36" t="str">
        <f>IF(Lamm!B64=""," - ",Lamm!B64)</f>
        <v> - </v>
      </c>
      <c r="C325" s="18"/>
      <c r="D325" s="26">
        <f>IF('[2]E-Lamm'!$H64="","",'[2]E-Lamm'!$H64)</f>
      </c>
      <c r="E325" s="27"/>
      <c r="F325" s="27"/>
      <c r="H325" s="39">
        <f>IF(Lamm!$H64="","",Lamm!$H64)</f>
      </c>
      <c r="I325" s="29">
        <f>IF(AND(D325="",H325=""),"",IF(H325=D325,"Richtig!",IF(H325="","Fehlt","Falsch")))</f>
      </c>
      <c r="J325" s="30" t="str">
        <f>IF(OR(B325="-",N325="",AND(D325="",H325="")),"-",IF(I325="Richtig!",1,IF(I325="Formel: OK",0.5,IF(OR(I325="Falsch",I325="Fehlt"),0,""))))</f>
        <v>-</v>
      </c>
      <c r="K325" s="23">
        <f t="shared" si="28"/>
      </c>
      <c r="L325" s="24">
        <f t="shared" si="29"/>
      </c>
      <c r="N325" s="918"/>
    </row>
    <row r="326" spans="1:14" ht="12.75" customHeight="1" hidden="1">
      <c r="A326" s="18"/>
      <c r="B326" s="36" t="str">
        <f>IF(Lamm!B65=""," - ",Lamm!B65)</f>
        <v> - </v>
      </c>
      <c r="C326" s="18"/>
      <c r="D326" s="26">
        <f>IF('[2]E-Lamm'!$H65="","",'[2]E-Lamm'!$H65)</f>
      </c>
      <c r="E326" s="27"/>
      <c r="F326" s="27"/>
      <c r="H326" s="39">
        <f>IF(Lamm!$H65="","",Lamm!$H65)</f>
      </c>
      <c r="I326" s="29">
        <f>IF(AND(D326="",H326=""),"",IF(H326=D326,"Richtig!",IF(H326="","Fehlt","Falsch")))</f>
      </c>
      <c r="J326" s="30" t="str">
        <f>IF(OR(B326="-",N326="",AND(D326="",H326="")),"-",IF(I326="Richtig!",1,IF(I326="Formel: OK",0.5,IF(OR(I326="Falsch",I326="Fehlt"),0,""))))</f>
        <v>-</v>
      </c>
      <c r="K326" s="23">
        <f t="shared" si="28"/>
      </c>
      <c r="L326" s="24">
        <f t="shared" si="29"/>
      </c>
      <c r="N326" s="918"/>
    </row>
    <row r="327" spans="1:14" ht="12.75">
      <c r="A327" s="18"/>
      <c r="B327" s="36" t="str">
        <f>IF(Lamm!B66=""," - ",Lamm!B66)</f>
        <v>DB inkl Förderungen für Mutterschaf</v>
      </c>
      <c r="C327" s="18"/>
      <c r="D327" s="31">
        <f>IF('[2]E-Lamm'!$H66="","",'[2]E-Lamm'!$H66)</f>
        <v>37.88092307692308</v>
      </c>
      <c r="E327" s="27"/>
      <c r="F327" s="32" t="str">
        <f>IF(OR(H321="",AND(H324="",H325="",H326="")),"-",H321+SUM(H324:H326))</f>
        <v>-</v>
      </c>
      <c r="H327" s="40">
        <f>IF(Lamm!$H66="","",Lamm!$H66)</f>
      </c>
      <c r="I327" s="29" t="str">
        <f>IF(B327="-","",IF(H327=D327,"Richtig!",IF(AND(D327&lt;&gt;H327,F327=H327),"Formel: OK",IF(H327="","Fehlt","Falsch"))))</f>
        <v>Fehlt</v>
      </c>
      <c r="J327" s="30">
        <f>IF(OR(B327="-",N327="",AND(D327="",H327="")),"-",IF(I327="Richtig!",1,IF(I327="Formel: OK",0.5,IF(OR(I327="Falsch",I327="Fehlt"),0,""))))</f>
        <v>0</v>
      </c>
      <c r="K327" s="23" t="str">
        <f t="shared" si="28"/>
        <v>│</v>
      </c>
      <c r="L327" s="24">
        <f t="shared" si="29"/>
        <v>1</v>
      </c>
      <c r="N327" s="918" t="s">
        <v>11</v>
      </c>
    </row>
    <row r="328" spans="1:12" ht="12.75">
      <c r="A328" s="18"/>
      <c r="B328" s="18"/>
      <c r="C328" s="18"/>
      <c r="D328" s="19"/>
      <c r="H328" s="17"/>
      <c r="I328" s="21"/>
      <c r="J328" s="21"/>
      <c r="K328" s="23">
        <f t="shared" si="28"/>
      </c>
      <c r="L328" s="24">
        <f t="shared" si="29"/>
      </c>
    </row>
    <row r="329" spans="1:12" ht="12.75">
      <c r="A329" s="17" t="s">
        <v>45</v>
      </c>
      <c r="B329" s="17"/>
      <c r="C329" s="18"/>
      <c r="D329" s="19"/>
      <c r="H329" s="17"/>
      <c r="I329" s="21"/>
      <c r="J329" s="21"/>
      <c r="K329" s="23">
        <f t="shared" si="28"/>
      </c>
      <c r="L329" s="24">
        <f t="shared" si="29"/>
      </c>
    </row>
    <row r="330" spans="1:14" ht="12.75">
      <c r="A330" s="18"/>
      <c r="B330" s="36" t="str">
        <f>IF(Lamm!D73=""," - ",Lamm!D73)</f>
        <v>Stallarbeit - gesamt </v>
      </c>
      <c r="C330" s="18"/>
      <c r="D330" s="26">
        <f>IF('[2]E-Lamm'!$E73="","",'[2]E-Lamm'!$E73)</f>
        <v>12.666666666666668</v>
      </c>
      <c r="E330" s="27"/>
      <c r="F330" s="27"/>
      <c r="H330" s="39">
        <f>IF(Lamm!$E73="","",Lamm!$E73)</f>
      </c>
      <c r="I330" s="29" t="str">
        <f>IF(AND(D330="",H330=""),"",IF(H330=D330,"Richtig!",IF(H330="","Fehlt","Falsch")))</f>
        <v>Fehlt</v>
      </c>
      <c r="J330" s="30">
        <f>IF(OR(B330="-",N330="",AND(D330="",H330="")),"-",IF(I330="Richtig!",1,IF(I330="Formel: OK",0.5,IF(OR(I330="Falsch",I330="Fehlt"),0,""))))</f>
        <v>0</v>
      </c>
      <c r="K330" s="23" t="str">
        <f t="shared" si="28"/>
        <v>│</v>
      </c>
      <c r="L330" s="24">
        <f t="shared" si="29"/>
        <v>1</v>
      </c>
      <c r="N330" s="918" t="s">
        <v>11</v>
      </c>
    </row>
    <row r="331" spans="1:14" ht="12.75">
      <c r="A331" s="18"/>
      <c r="B331" s="36" t="s">
        <v>46</v>
      </c>
      <c r="C331" s="18"/>
      <c r="D331" s="31">
        <f>IF('[2]E-Lamm'!$H69="","",'[2]E-Lamm'!$H69)</f>
        <v>2.990599190283401</v>
      </c>
      <c r="E331" s="27"/>
      <c r="F331" s="32" t="str">
        <f>IF(OR(H327="",H330=""),"-",H327/H330)</f>
        <v>-</v>
      </c>
      <c r="H331" s="40">
        <f>IF(Lamm!$H69="","",Lamm!$H69)</f>
      </c>
      <c r="I331" s="29" t="str">
        <f>IF(B331="-","",IF(H331=D331,"Richtig!",IF(AND(D331&lt;&gt;H331,F331=H331),"Formel: OK",IF(H331="","Fehlt","Falsch"))))</f>
        <v>Fehlt</v>
      </c>
      <c r="J331" s="30">
        <f>IF(OR(B331="-",N331="",AND(D331="",H331="")),"-",IF(I331="Richtig!",1,IF(I331="Formel: OK",0.5,IF(OR(I331="Falsch",I331="Fehlt"),0,""))))</f>
        <v>0</v>
      </c>
      <c r="K331" s="23" t="str">
        <f t="shared" si="28"/>
        <v>│</v>
      </c>
      <c r="L331" s="24">
        <f t="shared" si="29"/>
        <v>1</v>
      </c>
      <c r="N331" s="918" t="s">
        <v>11</v>
      </c>
    </row>
    <row r="332" spans="1:12" ht="12.75">
      <c r="A332" s="18"/>
      <c r="C332" s="18"/>
      <c r="D332" s="19"/>
      <c r="H332" s="17"/>
      <c r="I332" s="21"/>
      <c r="J332" s="21"/>
      <c r="K332" s="23">
        <f t="shared" si="28"/>
      </c>
      <c r="L332" s="24">
        <f t="shared" si="29"/>
      </c>
    </row>
    <row r="333" spans="1:14" ht="22.5">
      <c r="A333" s="10" t="str">
        <f>"WD "&amp;IF('WD.1Dgl'!B2="","",'WD.1Dgl'!B2)</f>
        <v>WD Dauergrünland 1-schnittig</v>
      </c>
      <c r="B333" s="11"/>
      <c r="C333" s="12"/>
      <c r="D333" s="13" t="s">
        <v>4</v>
      </c>
      <c r="E333" s="13"/>
      <c r="F333" s="14" t="s">
        <v>5</v>
      </c>
      <c r="G333" s="12"/>
      <c r="H333" s="14" t="s">
        <v>6</v>
      </c>
      <c r="I333" s="15" t="str">
        <f>"Fehler"</f>
        <v>Fehler</v>
      </c>
      <c r="J333" s="16" t="s">
        <v>7</v>
      </c>
      <c r="K333" s="16"/>
      <c r="L333" s="16"/>
      <c r="N333" s="840" t="str">
        <f>IF($L$1="","",$L$1)</f>
        <v>x</v>
      </c>
    </row>
    <row r="334" spans="1:14" ht="12.75" hidden="1">
      <c r="A334" s="17" t="s">
        <v>40</v>
      </c>
      <c r="B334" s="17" t="s">
        <v>47</v>
      </c>
      <c r="C334" s="42"/>
      <c r="D334" s="19"/>
      <c r="H334" s="20"/>
      <c r="I334" s="21"/>
      <c r="J334" s="21"/>
      <c r="K334" s="23">
        <f t="shared" si="25"/>
      </c>
      <c r="L334" s="24">
        <f t="shared" si="26"/>
      </c>
      <c r="N334" s="839"/>
    </row>
    <row r="335" spans="2:14" ht="12.75" hidden="1">
      <c r="B335" s="25" t="str">
        <f>IF('WD.1Dgl'!C10="","-",'WD.1Dgl'!$B$9&amp;" - "&amp;'WD.1Dgl'!C10)</f>
        <v>Laden - Standardtraktor</v>
      </c>
      <c r="C335" s="42" t="str">
        <f>IF('WD.1Dgl'!$C$5="","",'WD.1Dgl'!$C$5)</f>
        <v>Festmist</v>
      </c>
      <c r="D335" s="26">
        <f>IF('[2]E-WD.ILeist'!$F10="","",'[2]E-WD.ILeist'!$F10)</f>
        <v>0.13333333333333333</v>
      </c>
      <c r="E335" s="27"/>
      <c r="F335" s="27"/>
      <c r="H335" s="28">
        <f>IF('WD.1Dgl'!$F10="","",'WD.1Dgl'!$F10)</f>
        <v>0.13333333333333333</v>
      </c>
      <c r="I335" s="29" t="str">
        <f aca="true" t="shared" si="31" ref="I335:I340">IF(AND(D335="",H335=""),"",IF(H335=D335,"Richtig!",IF(H335="","Fehlt","Falsch")))</f>
        <v>Richtig!</v>
      </c>
      <c r="J335" s="30" t="str">
        <f aca="true" t="shared" si="32" ref="J335:J340">IF(OR(B335="-",N335="",AND(D335="",H335="")),"-",IF(I335="Richtig!",1,IF(I335="Formel: OK",0.5,IF(OR(I335="Falsch",I335="Fehlt"),0,""))))</f>
        <v>-</v>
      </c>
      <c r="K335" s="23">
        <f t="shared" si="25"/>
      </c>
      <c r="L335" s="24">
        <f t="shared" si="26"/>
      </c>
      <c r="N335" s="841"/>
    </row>
    <row r="336" spans="2:14" ht="12.75" hidden="1">
      <c r="B336" s="25" t="str">
        <f>IF('WD.1Dgl'!C11="","-",'WD.1Dgl'!$B$9&amp;" - "&amp;'WD.1Dgl'!C11)</f>
        <v>Laden - Frontlader</v>
      </c>
      <c r="C336" s="42" t="str">
        <f>IF('WD.1Dgl'!$C$5="","",'WD.1Dgl'!$C$5)</f>
        <v>Festmist</v>
      </c>
      <c r="D336" s="26">
        <f>IF('[2]E-WD.ILeist'!$F11="","",'[2]E-WD.ILeist'!$F11)</f>
        <v>0.13333333333333333</v>
      </c>
      <c r="E336" s="27"/>
      <c r="F336" s="27"/>
      <c r="H336" s="28">
        <f>IF('WD.1Dgl'!$F11="","",'WD.1Dgl'!$F11)</f>
        <v>0.13333333333333333</v>
      </c>
      <c r="I336" s="29" t="str">
        <f t="shared" si="31"/>
        <v>Richtig!</v>
      </c>
      <c r="J336" s="30" t="str">
        <f t="shared" si="32"/>
        <v>-</v>
      </c>
      <c r="K336" s="23">
        <f t="shared" si="25"/>
      </c>
      <c r="L336" s="24">
        <f t="shared" si="26"/>
      </c>
      <c r="N336" s="841"/>
    </row>
    <row r="337" spans="2:14" ht="12.75" hidden="1">
      <c r="B337" s="25" t="str">
        <f>IF('WD.1Dgl'!C13="","-",'WD.1Dgl'!$B$12&amp;" - "&amp;'WD.1Dgl'!C13)</f>
        <v>Transport - Standardtraktor</v>
      </c>
      <c r="C337" s="42" t="str">
        <f>IF('WD.1Dgl'!$C$5="","",'WD.1Dgl'!$C$5)</f>
        <v>Festmist</v>
      </c>
      <c r="D337" s="26">
        <f>IF('[2]E-WD.ILeist'!$F13="","",'[2]E-WD.ILeist'!$F13)</f>
        <v>0.8333333333333334</v>
      </c>
      <c r="E337" s="27"/>
      <c r="F337" s="27"/>
      <c r="H337" s="28">
        <f>IF('WD.1Dgl'!$F13="","",'WD.1Dgl'!$F13)</f>
        <v>0.8333333333333334</v>
      </c>
      <c r="I337" s="29" t="str">
        <f t="shared" si="31"/>
        <v>Richtig!</v>
      </c>
      <c r="J337" s="30" t="str">
        <f t="shared" si="32"/>
        <v>-</v>
      </c>
      <c r="K337" s="23">
        <f t="shared" si="25"/>
      </c>
      <c r="L337" s="24">
        <f t="shared" si="26"/>
      </c>
      <c r="N337" s="841"/>
    </row>
    <row r="338" spans="2:14" ht="12.75" hidden="1">
      <c r="B338" s="25" t="str">
        <f>IF('WD.1Dgl'!C14="","-",'WD.1Dgl'!$B$12&amp;" - "&amp;'WD.1Dgl'!C14)</f>
        <v>Transport - Miststreuer</v>
      </c>
      <c r="C338" s="42" t="str">
        <f>IF('WD.1Dgl'!$C$5="","",'WD.1Dgl'!$C$5)</f>
        <v>Festmist</v>
      </c>
      <c r="D338" s="26">
        <f>IF('[2]E-WD.ILeist'!$F14="","",'[2]E-WD.ILeist'!$F14)</f>
        <v>0.8333333333333334</v>
      </c>
      <c r="E338" s="27"/>
      <c r="F338" s="27"/>
      <c r="H338" s="28">
        <f>IF('WD.1Dgl'!$F14="","",'WD.1Dgl'!$F14)</f>
        <v>0.8333333333333334</v>
      </c>
      <c r="I338" s="29" t="str">
        <f t="shared" si="31"/>
        <v>Richtig!</v>
      </c>
      <c r="J338" s="30" t="str">
        <f t="shared" si="32"/>
        <v>-</v>
      </c>
      <c r="K338" s="23">
        <f t="shared" si="25"/>
      </c>
      <c r="L338" s="24">
        <f t="shared" si="26"/>
      </c>
      <c r="N338" s="841"/>
    </row>
    <row r="339" spans="2:14" ht="12.75" hidden="1">
      <c r="B339" s="25" t="str">
        <f>IF('WD.1Dgl'!C16="","-",'WD.1Dgl'!$B$15&amp;" - "&amp;'WD.1Dgl'!C16)</f>
        <v>Ausbringung - Standardtraktor</v>
      </c>
      <c r="C339" s="42" t="str">
        <f>IF('WD.1Dgl'!$C$5="","",'WD.1Dgl'!$C$5)</f>
        <v>Festmist</v>
      </c>
      <c r="D339" s="26">
        <f>IF('[2]E-WD.ILeist'!$F16="","",'[2]E-WD.ILeist'!$F16)</f>
        <v>0.26666666666666666</v>
      </c>
      <c r="E339" s="27"/>
      <c r="F339" s="27"/>
      <c r="H339" s="28">
        <f>IF('WD.1Dgl'!$F16="","",'WD.1Dgl'!$F16)</f>
        <v>0.26666666666666666</v>
      </c>
      <c r="I339" s="29" t="str">
        <f t="shared" si="31"/>
        <v>Richtig!</v>
      </c>
      <c r="J339" s="30" t="str">
        <f t="shared" si="32"/>
        <v>-</v>
      </c>
      <c r="K339" s="23">
        <f t="shared" si="25"/>
      </c>
      <c r="L339" s="24">
        <f t="shared" si="26"/>
      </c>
      <c r="N339" s="841"/>
    </row>
    <row r="340" spans="2:14" ht="12.75" hidden="1">
      <c r="B340" s="25" t="str">
        <f>IF('WD.1Dgl'!C17="","-",'WD.1Dgl'!$B$15&amp;" - "&amp;'WD.1Dgl'!C17)</f>
        <v>Ausbringung - Miststreuer</v>
      </c>
      <c r="C340" s="42" t="str">
        <f>IF('WD.1Dgl'!$C$5="","",'WD.1Dgl'!$C$5)</f>
        <v>Festmist</v>
      </c>
      <c r="D340" s="26">
        <f>IF('[2]E-WD.ILeist'!$F17="","",'[2]E-WD.ILeist'!$F17)</f>
        <v>0.26666666666666666</v>
      </c>
      <c r="E340" s="27"/>
      <c r="F340" s="27"/>
      <c r="H340" s="28">
        <f>IF('WD.1Dgl'!$F17="","",'WD.1Dgl'!$F17)</f>
        <v>0.26666666666666666</v>
      </c>
      <c r="I340" s="29" t="str">
        <f t="shared" si="31"/>
        <v>Richtig!</v>
      </c>
      <c r="J340" s="30" t="str">
        <f t="shared" si="32"/>
        <v>-</v>
      </c>
      <c r="K340" s="23">
        <f t="shared" si="25"/>
      </c>
      <c r="L340" s="24">
        <f t="shared" si="26"/>
      </c>
      <c r="N340" s="841"/>
    </row>
    <row r="341" spans="1:14" ht="12.75" hidden="1">
      <c r="A341" s="18"/>
      <c r="B341" s="18"/>
      <c r="C341" s="18"/>
      <c r="D341" s="19"/>
      <c r="H341" s="17"/>
      <c r="I341" s="21"/>
      <c r="J341" s="21"/>
      <c r="K341" s="23">
        <f t="shared" si="25"/>
      </c>
      <c r="L341" s="24">
        <f t="shared" si="26"/>
      </c>
      <c r="N341" s="842"/>
    </row>
    <row r="342" spans="1:14" ht="12.75" hidden="1">
      <c r="A342" s="17">
        <v>2</v>
      </c>
      <c r="B342" s="17" t="s">
        <v>48</v>
      </c>
      <c r="C342" s="18"/>
      <c r="D342" s="19"/>
      <c r="H342" s="17"/>
      <c r="I342" s="21"/>
      <c r="J342" s="21"/>
      <c r="K342" s="23">
        <f t="shared" si="25"/>
      </c>
      <c r="L342" s="24">
        <f t="shared" si="26"/>
      </c>
      <c r="N342" s="839"/>
    </row>
    <row r="343" spans="2:14" ht="12.75" hidden="1">
      <c r="B343" s="25" t="str">
        <f>IF('WD.1Dgl'!C10="","-",'WD.1Dgl'!$B$9&amp;" - "&amp;'WD.1Dgl'!C10)</f>
        <v>Laden - Standardtraktor</v>
      </c>
      <c r="C343" s="42" t="str">
        <f>IF('WD.1Dgl'!$C$5="","",'WD.1Dgl'!$C$5)</f>
        <v>Festmist</v>
      </c>
      <c r="D343" s="31">
        <f>IF('[2]E-WD.ILeist'!$G10="","",'[2]E-WD.ILeist'!$G10)</f>
        <v>0.33333333333333337</v>
      </c>
      <c r="E343" s="27"/>
      <c r="F343" s="32">
        <f>IF(OR(H335="",'WD.1Dgl'!$H$5=""),"-",H335*100/'WD.1Dgl'!$H$5)</f>
        <v>0.33333333333333337</v>
      </c>
      <c r="H343" s="33">
        <f>IF('WD.1Dgl'!$G10="","",'WD.1Dgl'!$G10)</f>
        <v>0.3333333333333333</v>
      </c>
      <c r="I343" s="29" t="str">
        <f aca="true" t="shared" si="33" ref="I343:I348">IF(OR(B343="-",AND(D343="",H343="")),"",IF(H343=D343,"Richtig!",IF(AND(D343&lt;&gt;H343,F343=H343),"Formel: OK",IF(H343="","Fehlt","Falsch"))))</f>
        <v>Richtig!</v>
      </c>
      <c r="J343" s="30" t="str">
        <f aca="true" t="shared" si="34" ref="J343:J348">IF(OR(B343="-",N343="",AND(D343="",H343="")),"-",IF(I343="Richtig!",1,IF(I343="Formel: OK",0.5,IF(OR(I343="Falsch",I343="Fehlt"),0,""))))</f>
        <v>-</v>
      </c>
      <c r="K343" s="23">
        <f t="shared" si="25"/>
      </c>
      <c r="L343" s="24">
        <f t="shared" si="26"/>
      </c>
      <c r="N343" s="841"/>
    </row>
    <row r="344" spans="2:14" ht="12.75" hidden="1">
      <c r="B344" s="25" t="str">
        <f>IF('WD.1Dgl'!C11="","-",'WD.1Dgl'!$B$9&amp;" - "&amp;'WD.1Dgl'!C11)</f>
        <v>Laden - Frontlader</v>
      </c>
      <c r="C344" s="42" t="str">
        <f>IF('WD.1Dgl'!$C$5="","",'WD.1Dgl'!$C$5)</f>
        <v>Festmist</v>
      </c>
      <c r="D344" s="31">
        <f>IF('[2]E-WD.ILeist'!$G11="","",'[2]E-WD.ILeist'!$G11)</f>
        <v>0.33333333333333337</v>
      </c>
      <c r="E344" s="27"/>
      <c r="F344" s="32">
        <f>IF(OR(H336="",'WD.1Dgl'!$H$5=""),"-",H336*100/'WD.1Dgl'!$H$5)</f>
        <v>0.33333333333333337</v>
      </c>
      <c r="H344" s="33">
        <f>IF('WD.1Dgl'!$G11="","",'WD.1Dgl'!$G11)</f>
        <v>0.3333333333333333</v>
      </c>
      <c r="I344" s="29" t="str">
        <f t="shared" si="33"/>
        <v>Richtig!</v>
      </c>
      <c r="J344" s="30" t="str">
        <f t="shared" si="34"/>
        <v>-</v>
      </c>
      <c r="K344" s="23">
        <f t="shared" si="25"/>
      </c>
      <c r="L344" s="24">
        <f t="shared" si="26"/>
      </c>
      <c r="N344" s="841"/>
    </row>
    <row r="345" spans="2:14" ht="12.75" hidden="1">
      <c r="B345" s="25" t="str">
        <f>IF('WD.1Dgl'!C13="","-",'WD.1Dgl'!$B$12&amp;" - "&amp;'WD.1Dgl'!C13)</f>
        <v>Transport - Standardtraktor</v>
      </c>
      <c r="C345" s="42" t="str">
        <f>IF('WD.1Dgl'!$C$5="","",'WD.1Dgl'!$C$5)</f>
        <v>Festmist</v>
      </c>
      <c r="D345" s="31">
        <f>IF('[2]E-WD.ILeist'!$G13="","",'[2]E-WD.ILeist'!$G13)</f>
        <v>2.0833333333333335</v>
      </c>
      <c r="E345" s="27"/>
      <c r="F345" s="32">
        <f>IF(OR(H337="",'WD.1Dgl'!$H$5=""),"-",H337*100/'WD.1Dgl'!$H$5)</f>
        <v>2.0833333333333335</v>
      </c>
      <c r="H345" s="33">
        <f>IF('WD.1Dgl'!$G13="","",'WD.1Dgl'!$G13)</f>
        <v>2.0833333333333335</v>
      </c>
      <c r="I345" s="29" t="str">
        <f t="shared" si="33"/>
        <v>Richtig!</v>
      </c>
      <c r="J345" s="30" t="str">
        <f t="shared" si="34"/>
        <v>-</v>
      </c>
      <c r="K345" s="23">
        <f t="shared" si="25"/>
      </c>
      <c r="L345" s="24">
        <f t="shared" si="26"/>
      </c>
      <c r="N345" s="841"/>
    </row>
    <row r="346" spans="2:14" ht="12.75" hidden="1">
      <c r="B346" s="25" t="str">
        <f>IF('WD.1Dgl'!C14="","-",'WD.1Dgl'!$B$12&amp;" - "&amp;'WD.1Dgl'!C14)</f>
        <v>Transport - Miststreuer</v>
      </c>
      <c r="C346" s="42" t="str">
        <f>IF('WD.1Dgl'!$C$5="","",'WD.1Dgl'!$C$5)</f>
        <v>Festmist</v>
      </c>
      <c r="D346" s="31">
        <f>IF('[2]E-WD.ILeist'!$G14="","",'[2]E-WD.ILeist'!$G14)</f>
        <v>2.0833333333333335</v>
      </c>
      <c r="E346" s="27"/>
      <c r="F346" s="32">
        <f>IF(OR(H338="",'WD.1Dgl'!$H$5=""),"-",H338*100/'WD.1Dgl'!$H$5)</f>
        <v>2.0833333333333335</v>
      </c>
      <c r="H346" s="33">
        <f>IF('WD.1Dgl'!$G14="","",'WD.1Dgl'!$G14)</f>
        <v>2.0833333333333335</v>
      </c>
      <c r="I346" s="29" t="str">
        <f t="shared" si="33"/>
        <v>Richtig!</v>
      </c>
      <c r="J346" s="30" t="str">
        <f t="shared" si="34"/>
        <v>-</v>
      </c>
      <c r="K346" s="23">
        <f t="shared" si="25"/>
      </c>
      <c r="L346" s="24">
        <f t="shared" si="26"/>
      </c>
      <c r="N346" s="841"/>
    </row>
    <row r="347" spans="2:14" ht="12.75" hidden="1">
      <c r="B347" s="25" t="str">
        <f>IF('WD.1Dgl'!C16="","-",'WD.1Dgl'!$B$15&amp;" - "&amp;'WD.1Dgl'!C16)</f>
        <v>Ausbringung - Standardtraktor</v>
      </c>
      <c r="C347" s="42" t="str">
        <f>IF('WD.1Dgl'!$C$5="","",'WD.1Dgl'!$C$5)</f>
        <v>Festmist</v>
      </c>
      <c r="D347" s="31">
        <f>IF('[2]E-WD.ILeist'!$G16="","",'[2]E-WD.ILeist'!$G16)</f>
        <v>0.6666666666666667</v>
      </c>
      <c r="E347" s="27"/>
      <c r="F347" s="32">
        <f>IF(OR(H339="",'WD.1Dgl'!$H$5=""),"-",H339*100/'WD.1Dgl'!$H$5)</f>
        <v>0.6666666666666667</v>
      </c>
      <c r="H347" s="33">
        <f>IF('WD.1Dgl'!$G16="","",'WD.1Dgl'!$G16)</f>
        <v>0.6666666666666666</v>
      </c>
      <c r="I347" s="29" t="str">
        <f t="shared" si="33"/>
        <v>Richtig!</v>
      </c>
      <c r="J347" s="30" t="str">
        <f t="shared" si="34"/>
        <v>-</v>
      </c>
      <c r="K347" s="23">
        <f t="shared" si="25"/>
      </c>
      <c r="L347" s="24">
        <f t="shared" si="26"/>
      </c>
      <c r="N347" s="841"/>
    </row>
    <row r="348" spans="2:14" ht="12.75" hidden="1">
      <c r="B348" s="25" t="str">
        <f>IF('WD.1Dgl'!C17="","-",'WD.1Dgl'!$B$15&amp;" - "&amp;'WD.1Dgl'!C17)</f>
        <v>Ausbringung - Miststreuer</v>
      </c>
      <c r="C348" s="42" t="str">
        <f>IF('WD.1Dgl'!$C$5="","",'WD.1Dgl'!$C$5)</f>
        <v>Festmist</v>
      </c>
      <c r="D348" s="31">
        <f>IF('[2]E-WD.ILeist'!$G17="","",'[2]E-WD.ILeist'!$G17)</f>
        <v>0.6666666666666667</v>
      </c>
      <c r="E348" s="27"/>
      <c r="F348" s="32">
        <f>IF(OR(H340="",'WD.1Dgl'!$H$5=""),"-",H340*100/'WD.1Dgl'!$H$5)</f>
        <v>0.6666666666666667</v>
      </c>
      <c r="H348" s="33">
        <f>IF('WD.1Dgl'!$G17="","",'WD.1Dgl'!$G17)</f>
        <v>0.6666666666666666</v>
      </c>
      <c r="I348" s="29" t="str">
        <f t="shared" si="33"/>
        <v>Richtig!</v>
      </c>
      <c r="J348" s="30" t="str">
        <f t="shared" si="34"/>
        <v>-</v>
      </c>
      <c r="K348" s="23">
        <f t="shared" si="25"/>
      </c>
      <c r="L348" s="24">
        <f t="shared" si="26"/>
      </c>
      <c r="N348" s="841"/>
    </row>
    <row r="349" spans="1:14" ht="12.75">
      <c r="A349" s="18"/>
      <c r="B349" s="18"/>
      <c r="C349" s="18"/>
      <c r="D349" s="19"/>
      <c r="H349" s="17"/>
      <c r="I349" s="21"/>
      <c r="J349" s="21"/>
      <c r="K349" s="23">
        <f t="shared" si="25"/>
      </c>
      <c r="L349" s="24">
        <f t="shared" si="26"/>
      </c>
      <c r="N349" s="842" t="str">
        <f aca="true" t="shared" si="35" ref="N349:N358">IF($L$1="","",$L$1)</f>
        <v>x</v>
      </c>
    </row>
    <row r="350" spans="1:14" ht="12.75">
      <c r="A350" s="17" t="s">
        <v>14</v>
      </c>
      <c r="B350" s="17" t="s">
        <v>49</v>
      </c>
      <c r="C350" s="18"/>
      <c r="D350" s="19"/>
      <c r="H350" s="17"/>
      <c r="I350" s="21"/>
      <c r="J350" s="21"/>
      <c r="K350" s="23">
        <f t="shared" si="25"/>
      </c>
      <c r="L350" s="24">
        <f t="shared" si="26"/>
      </c>
      <c r="N350" s="839" t="str">
        <f t="shared" si="35"/>
        <v>x</v>
      </c>
    </row>
    <row r="351" spans="1:14" ht="12.75">
      <c r="A351" s="17"/>
      <c r="B351" s="25" t="str">
        <f>IF('WD.1Dgl'!C10="","-",'WD.1Dgl'!$B$9&amp;" - "&amp;'WD.1Dgl'!C10)</f>
        <v>Laden - Standardtraktor</v>
      </c>
      <c r="C351" s="42" t="str">
        <f>IF('WD.1Dgl'!$C$5="","",'WD.1Dgl'!$C$5)</f>
        <v>Festmist</v>
      </c>
      <c r="D351" s="31">
        <f>IF('[2]E-WD.ILeist'!$I10="","",'[2]E-WD.ILeist'!$I10)</f>
        <v>2.4466666666666668</v>
      </c>
      <c r="E351" s="27"/>
      <c r="F351" s="32">
        <f>IF(OR(H343="",'WD.1Dgl'!H10=""),"-",H343*'WD.1Dgl'!H10)</f>
        <v>2.4466666666666663</v>
      </c>
      <c r="H351" s="33">
        <f>IF('WD.1Dgl'!$I10="","",'WD.1Dgl'!$I10)</f>
      </c>
      <c r="I351" s="29" t="str">
        <f aca="true" t="shared" si="36" ref="I351:I362">IF(OR(B351="-",AND(D351="",H351="")),"",IF(H351=D351,"Richtig!",IF(AND(D351&lt;&gt;H351,F351=H351),"Formel: OK",IF(H351="","Fehlt","Falsch"))))</f>
        <v>Fehlt</v>
      </c>
      <c r="J351" s="30">
        <f aca="true" t="shared" si="37" ref="J351:J362">IF(OR(B351="-",N351="",AND(D351="",H351="")),"-",IF(I351="Richtig!",1,IF(I351="Formel: OK",0.5,IF(OR(I351="Falsch",I351="Fehlt"),0,""))))</f>
        <v>0</v>
      </c>
      <c r="K351" s="23" t="str">
        <f t="shared" si="25"/>
        <v>│</v>
      </c>
      <c r="L351" s="24">
        <f t="shared" si="26"/>
        <v>1</v>
      </c>
      <c r="N351" s="841" t="str">
        <f t="shared" si="35"/>
        <v>x</v>
      </c>
    </row>
    <row r="352" spans="1:14" ht="12.75">
      <c r="A352" s="17"/>
      <c r="B352" s="25" t="str">
        <f>IF('WD.1Dgl'!C11="","-",'WD.1Dgl'!$B$9&amp;" - "&amp;'WD.1Dgl'!C11)</f>
        <v>Laden - Frontlader</v>
      </c>
      <c r="C352" s="42" t="str">
        <f>IF('WD.1Dgl'!$C$5="","",'WD.1Dgl'!$C$5)</f>
        <v>Festmist</v>
      </c>
      <c r="D352" s="31">
        <f>IF('[2]E-WD.ILeist'!$I11="","",'[2]E-WD.ILeist'!$I11)</f>
        <v>0.16</v>
      </c>
      <c r="E352" s="27"/>
      <c r="F352" s="32">
        <f>IF(OR(H344="",'WD.1Dgl'!H11=""),"-",H344*'WD.1Dgl'!H11)</f>
        <v>0.15999999999999998</v>
      </c>
      <c r="H352" s="33">
        <f>IF('WD.1Dgl'!$I11="","",'WD.1Dgl'!$I11)</f>
      </c>
      <c r="I352" s="29" t="str">
        <f t="shared" si="36"/>
        <v>Fehlt</v>
      </c>
      <c r="J352" s="30">
        <f t="shared" si="37"/>
        <v>0</v>
      </c>
      <c r="K352" s="23" t="str">
        <f t="shared" si="25"/>
        <v>│</v>
      </c>
      <c r="L352" s="24">
        <f t="shared" si="26"/>
        <v>1</v>
      </c>
      <c r="N352" s="841" t="str">
        <f t="shared" si="35"/>
        <v>x</v>
      </c>
    </row>
    <row r="353" spans="2:14" ht="12.75">
      <c r="B353" s="25" t="str">
        <f>IF('WD.1Dgl'!C13="","-",'WD.1Dgl'!$B$12&amp;" - "&amp;'WD.1Dgl'!C13)</f>
        <v>Transport - Standardtraktor</v>
      </c>
      <c r="C353" s="42" t="str">
        <f>IF('WD.1Dgl'!$C$5="","",'WD.1Dgl'!$C$5)</f>
        <v>Festmist</v>
      </c>
      <c r="D353" s="31">
        <f>IF('[2]E-WD.ILeist'!$I13="","",'[2]E-WD.ILeist'!$I13)</f>
        <v>15.291666666666668</v>
      </c>
      <c r="E353" s="27"/>
      <c r="F353" s="32">
        <f>IF(OR(H345="",'WD.1Dgl'!H13=""),"-",H345*'WD.1Dgl'!H13)</f>
        <v>15.291666666666668</v>
      </c>
      <c r="H353" s="33">
        <f>IF('WD.1Dgl'!$I13="","",'WD.1Dgl'!$I13)</f>
      </c>
      <c r="I353" s="29" t="str">
        <f t="shared" si="36"/>
        <v>Fehlt</v>
      </c>
      <c r="J353" s="30">
        <f t="shared" si="37"/>
        <v>0</v>
      </c>
      <c r="K353" s="23" t="str">
        <f t="shared" si="25"/>
        <v>│</v>
      </c>
      <c r="L353" s="24">
        <f t="shared" si="26"/>
        <v>1</v>
      </c>
      <c r="N353" s="841" t="str">
        <f t="shared" si="35"/>
        <v>x</v>
      </c>
    </row>
    <row r="354" spans="2:14" ht="12.75">
      <c r="B354" s="25" t="str">
        <f>IF('WD.1Dgl'!C14="","-",'WD.1Dgl'!$B$12&amp;" - "&amp;'WD.1Dgl'!C14)</f>
        <v>Transport - Miststreuer</v>
      </c>
      <c r="C354" s="42" t="str">
        <f>IF('WD.1Dgl'!$C$5="","",'WD.1Dgl'!$C$5)</f>
        <v>Festmist</v>
      </c>
      <c r="D354" s="31">
        <f>IF('[2]E-WD.ILeist'!$I14="","",'[2]E-WD.ILeist'!$I14)</f>
        <v>4.458333333333334</v>
      </c>
      <c r="E354" s="27"/>
      <c r="F354" s="32">
        <f>IF(OR(H346="",'WD.1Dgl'!H14=""),"-",H346*'WD.1Dgl'!H14)</f>
        <v>4.458333333333334</v>
      </c>
      <c r="H354" s="33">
        <f>IF('WD.1Dgl'!$I14="","",'WD.1Dgl'!$I14)</f>
      </c>
      <c r="I354" s="29" t="str">
        <f t="shared" si="36"/>
        <v>Fehlt</v>
      </c>
      <c r="J354" s="30">
        <f t="shared" si="37"/>
        <v>0</v>
      </c>
      <c r="K354" s="23" t="str">
        <f t="shared" si="25"/>
        <v>│</v>
      </c>
      <c r="L354" s="24">
        <f t="shared" si="26"/>
        <v>1</v>
      </c>
      <c r="N354" s="841" t="str">
        <f t="shared" si="35"/>
        <v>x</v>
      </c>
    </row>
    <row r="355" spans="2:14" ht="12.75">
      <c r="B355" s="25" t="str">
        <f>IF('WD.1Dgl'!C16="","-",'WD.1Dgl'!$B$15&amp;" - "&amp;'WD.1Dgl'!C16)</f>
        <v>Ausbringung - Standardtraktor</v>
      </c>
      <c r="C355" s="42" t="str">
        <f>IF('WD.1Dgl'!$C$5="","",'WD.1Dgl'!$C$5)</f>
        <v>Festmist</v>
      </c>
      <c r="D355" s="31">
        <f>IF('[2]E-WD.ILeist'!$I16="","",'[2]E-WD.ILeist'!$I16)</f>
        <v>4.8933333333333335</v>
      </c>
      <c r="E355" s="27"/>
      <c r="F355" s="32">
        <f>IF(OR(Korrektur!H347="",'WD.1Dgl'!H16=""),"-",Korrektur!H347*'WD.1Dgl'!H16)</f>
        <v>4.893333333333333</v>
      </c>
      <c r="H355" s="33">
        <f>IF('WD.1Dgl'!$I16="","",'WD.1Dgl'!$I16)</f>
      </c>
      <c r="I355" s="29" t="str">
        <f t="shared" si="36"/>
        <v>Fehlt</v>
      </c>
      <c r="J355" s="30">
        <f t="shared" si="37"/>
        <v>0</v>
      </c>
      <c r="K355" s="23" t="str">
        <f t="shared" si="25"/>
        <v>│</v>
      </c>
      <c r="L355" s="24">
        <f t="shared" si="26"/>
        <v>1</v>
      </c>
      <c r="N355" s="841" t="str">
        <f t="shared" si="35"/>
        <v>x</v>
      </c>
    </row>
    <row r="356" spans="2:14" ht="12.75">
      <c r="B356" s="25" t="str">
        <f>IF('WD.1Dgl'!C17="","-",'WD.1Dgl'!$B$15&amp;" - "&amp;'WD.1Dgl'!C17)</f>
        <v>Ausbringung - Miststreuer</v>
      </c>
      <c r="C356" s="42" t="str">
        <f>IF('WD.1Dgl'!$C$5="","",'WD.1Dgl'!$C$5)</f>
        <v>Festmist</v>
      </c>
      <c r="D356" s="31">
        <f>IF('[2]E-WD.ILeist'!$I17="","",'[2]E-WD.ILeist'!$I17)</f>
        <v>1.426666666666667</v>
      </c>
      <c r="E356" s="27"/>
      <c r="F356" s="32">
        <f>IF(OR(Korrektur!H348="",'WD.1Dgl'!H17=""),"-",Korrektur!H348*'WD.1Dgl'!H17)</f>
        <v>1.4266666666666667</v>
      </c>
      <c r="H356" s="33">
        <f>IF('WD.1Dgl'!$I17="","",'WD.1Dgl'!$I17)</f>
      </c>
      <c r="I356" s="29" t="str">
        <f t="shared" si="36"/>
        <v>Fehlt</v>
      </c>
      <c r="J356" s="30">
        <f t="shared" si="37"/>
        <v>0</v>
      </c>
      <c r="K356" s="23" t="str">
        <f t="shared" si="25"/>
        <v>│</v>
      </c>
      <c r="L356" s="24">
        <f t="shared" si="26"/>
        <v>1</v>
      </c>
      <c r="N356" s="841" t="str">
        <f t="shared" si="35"/>
        <v>x</v>
      </c>
    </row>
    <row r="357" spans="2:14" ht="12.75">
      <c r="B357" s="36" t="str">
        <f>'WD.1Dgl'!B18</f>
        <v>Summe variable Maschinenkosten - Festmist</v>
      </c>
      <c r="C357" s="42" t="str">
        <f>IF('WD.1Dgl'!$C$5="","",'WD.1Dgl'!$C$5)</f>
        <v>Festmist</v>
      </c>
      <c r="D357" s="31">
        <f>IF('[2]E-WD.ILeist'!$I18="","",'[2]E-WD.ILeist'!$I18)</f>
        <v>28.67666666666667</v>
      </c>
      <c r="E357" s="27"/>
      <c r="F357" s="32" t="str">
        <f>IF(AND(H351="",H352="",H353="",H354="",H355="",H356=""),"-",SUM(H351:H356))</f>
        <v>-</v>
      </c>
      <c r="H357" s="33">
        <f>IF('WD.1Dgl'!$I18="","",'WD.1Dgl'!$I18)</f>
      </c>
      <c r="I357" s="29" t="str">
        <f t="shared" si="36"/>
        <v>Fehlt</v>
      </c>
      <c r="J357" s="30">
        <f t="shared" si="37"/>
        <v>0</v>
      </c>
      <c r="K357" s="23" t="str">
        <f t="shared" si="25"/>
        <v>│</v>
      </c>
      <c r="L357" s="24">
        <f t="shared" si="26"/>
        <v>1</v>
      </c>
      <c r="N357" s="841" t="str">
        <f t="shared" si="35"/>
        <v>x</v>
      </c>
    </row>
    <row r="358" spans="1:14" ht="12.75">
      <c r="A358" s="18"/>
      <c r="B358" s="36" t="str">
        <f>'WD.1Dgl'!B19</f>
        <v>Summe variable Maschinenkosten inkl. MWSt</v>
      </c>
      <c r="C358" s="42" t="str">
        <f>IF('WD.1Dgl'!$C$5="","",'WD.1Dgl'!$C$5)</f>
        <v>Festmist</v>
      </c>
      <c r="D358" s="31">
        <f>IF('[2]E-WD.ILeist'!$I19="","",'[2]E-WD.ILeist'!$I19)</f>
        <v>34.412000000000006</v>
      </c>
      <c r="E358" s="27"/>
      <c r="F358" s="32" t="str">
        <f>IF(OR(H357="",'WD.1Dgl'!H19=""),"-",H357*(1+'WD.1Dgl'!H19))</f>
        <v>-</v>
      </c>
      <c r="H358" s="33">
        <f>IF('WD.1Dgl'!$I19="","",'WD.1Dgl'!$I19)</f>
      </c>
      <c r="I358" s="29" t="str">
        <f t="shared" si="36"/>
        <v>Fehlt</v>
      </c>
      <c r="J358" s="30">
        <f t="shared" si="37"/>
        <v>0</v>
      </c>
      <c r="K358" s="23" t="str">
        <f t="shared" si="25"/>
        <v>│</v>
      </c>
      <c r="L358" s="24">
        <f t="shared" si="26"/>
        <v>1</v>
      </c>
      <c r="N358" s="841" t="str">
        <f t="shared" si="35"/>
        <v>x</v>
      </c>
    </row>
    <row r="359" spans="1:14" ht="12.75" hidden="1">
      <c r="A359" s="17"/>
      <c r="B359" s="36" t="str">
        <f>'WD.1Dgl'!G20</f>
        <v>Aufschlag für Rüstzeit</v>
      </c>
      <c r="C359" s="42" t="str">
        <f>IF('WD.1Dgl'!$C$5="","",'WD.1Dgl'!$C$5)</f>
        <v>Festmist</v>
      </c>
      <c r="D359" s="31">
        <f>IF('[2]E-WD.ILeist'!$I20="","",'[2]E-WD.ILeist'!$I20)</f>
        <v>3.4412000000000007</v>
      </c>
      <c r="E359" s="27"/>
      <c r="F359" s="32" t="str">
        <f>IF(OR(H358="",'WD.1Dgl'!H20=""),"-",H358*'WD.1Dgl'!H20)</f>
        <v>-</v>
      </c>
      <c r="H359" s="33" t="str">
        <f>IF('WD.1Dgl'!$I20="","",'WD.1Dgl'!$I20)</f>
        <v>noch leer</v>
      </c>
      <c r="I359" s="29" t="str">
        <f t="shared" si="36"/>
        <v>Falsch</v>
      </c>
      <c r="J359" s="30" t="str">
        <f t="shared" si="37"/>
        <v>-</v>
      </c>
      <c r="K359" s="23">
        <f t="shared" si="25"/>
      </c>
      <c r="L359" s="24">
        <f t="shared" si="26"/>
      </c>
      <c r="N359" s="841"/>
    </row>
    <row r="360" spans="1:14" ht="12.75" hidden="1">
      <c r="A360" s="18"/>
      <c r="B360" s="36" t="str">
        <f>'WD.1Dgl'!B21</f>
        <v>GESAMTE MASCHINENKOSTEN je 100 dt</v>
      </c>
      <c r="C360" s="42" t="str">
        <f>IF('WD.1Dgl'!$C$5="","",'WD.1Dgl'!$C$5)</f>
        <v>Festmist</v>
      </c>
      <c r="D360" s="31">
        <f>IF('[2]E-WD.ILeist'!$I21="","",'[2]E-WD.ILeist'!$I21)</f>
        <v>37.85320000000001</v>
      </c>
      <c r="E360" s="27"/>
      <c r="F360" s="32">
        <f>IF(AND(H358="",H359=""),"-",SUM(H358:H359))</f>
        <v>0</v>
      </c>
      <c r="H360" s="33" t="str">
        <f>IF('WD.1Dgl'!$I21="","",'WD.1Dgl'!$I21)</f>
        <v>noch leer</v>
      </c>
      <c r="I360" s="29" t="str">
        <f t="shared" si="36"/>
        <v>Falsch</v>
      </c>
      <c r="J360" s="30" t="str">
        <f t="shared" si="37"/>
        <v>-</v>
      </c>
      <c r="K360" s="23">
        <f t="shared" si="25"/>
      </c>
      <c r="L360" s="24">
        <f t="shared" si="26"/>
      </c>
      <c r="N360" s="841"/>
    </row>
    <row r="361" spans="1:14" ht="12.75" hidden="1">
      <c r="A361" s="18"/>
      <c r="B361" s="36" t="str">
        <f>MID('WD.1Dgl'!B21,1,27)&amp;'WD.1Dgl'!B24&amp;" "&amp;'WD.1Dgl'!C24</f>
        <v>GESAMTE MASCHINENKOSTEN je 100 dt</v>
      </c>
      <c r="C361" s="42" t="str">
        <f>IF('WD.1Dgl'!$C$5="","",'WD.1Dgl'!$C$5)</f>
        <v>Festmist</v>
      </c>
      <c r="D361" s="31">
        <f>IF('[2]E-WD.ILeist'!$I24="","",'[2]E-WD.ILeist'!$I24)</f>
        <v>37.85320000000001</v>
      </c>
      <c r="E361" s="27"/>
      <c r="F361" s="32">
        <f>IF(OR(F360="-",'WD.1Dgl'!B24=""),"-",F360/100*'WD.1Dgl'!B24)</f>
        <v>0</v>
      </c>
      <c r="H361" s="33" t="str">
        <f>IF('WD.1Dgl'!$I24="","",'WD.1Dgl'!$I24)</f>
        <v>noch leer</v>
      </c>
      <c r="I361" s="29" t="str">
        <f t="shared" si="36"/>
        <v>Falsch</v>
      </c>
      <c r="J361" s="30" t="str">
        <f t="shared" si="37"/>
        <v>-</v>
      </c>
      <c r="K361" s="23">
        <f t="shared" si="25"/>
      </c>
      <c r="L361" s="24">
        <f t="shared" si="26"/>
      </c>
      <c r="N361" s="841"/>
    </row>
    <row r="362" spans="1:14" ht="12.75" hidden="1">
      <c r="A362" s="18"/>
      <c r="B362" s="36" t="str">
        <f>'WD.1Dgl'!B27</f>
        <v>Arbeitszeit/ha und Jahr</v>
      </c>
      <c r="C362" s="42" t="str">
        <f>IF('WD.1Dgl'!$C$5="","",'WD.1Dgl'!$C$5)</f>
        <v>Festmist</v>
      </c>
      <c r="D362" s="31">
        <f>IF('[2]E-WD.ILeist'!$G27="","",'[2]E-WD.ILeist'!$G27)</f>
        <v>3.083333333333334</v>
      </c>
      <c r="E362" s="27"/>
      <c r="F362" s="32">
        <f>IF(OR(AND(H343="",H345="",H347=""),'WD.1Dgl'!B24=""),"-",SUM(H343,H345,H347)/100*'WD.1Dgl'!B24)</f>
        <v>3.0833333333333335</v>
      </c>
      <c r="H362" s="33">
        <f>IF('WD.1Dgl'!$G27="","",'WD.1Dgl'!$G27)</f>
        <v>3.0833333333333335</v>
      </c>
      <c r="I362" s="29" t="str">
        <f t="shared" si="36"/>
        <v>Richtig!</v>
      </c>
      <c r="J362" s="30" t="str">
        <f t="shared" si="37"/>
        <v>-</v>
      </c>
      <c r="K362" s="23">
        <f t="shared" si="25"/>
      </c>
      <c r="L362" s="24">
        <f t="shared" si="26"/>
      </c>
      <c r="N362" s="841"/>
    </row>
    <row r="363" spans="1:14" ht="12.75" hidden="1">
      <c r="A363" s="18"/>
      <c r="B363" s="18"/>
      <c r="C363" s="18"/>
      <c r="D363" s="19"/>
      <c r="H363" s="17"/>
      <c r="I363" s="21"/>
      <c r="J363" s="21"/>
      <c r="K363" s="23">
        <f t="shared" si="25"/>
      </c>
      <c r="L363" s="24">
        <f t="shared" si="26"/>
      </c>
      <c r="N363" s="842"/>
    </row>
    <row r="364" spans="1:14" ht="12.75" hidden="1">
      <c r="A364" s="17" t="s">
        <v>17</v>
      </c>
      <c r="B364" s="17" t="s">
        <v>47</v>
      </c>
      <c r="C364" s="18"/>
      <c r="D364" s="19"/>
      <c r="H364" s="17"/>
      <c r="I364" s="21"/>
      <c r="J364" s="21"/>
      <c r="K364" s="23">
        <f t="shared" si="25"/>
      </c>
      <c r="L364" s="24">
        <f t="shared" si="26"/>
      </c>
      <c r="N364" s="839"/>
    </row>
    <row r="365" spans="2:14" ht="12.75" hidden="1">
      <c r="B365" s="25" t="str">
        <f>IF('WD.1Dgl'!C35="","-",'WD.1Dgl'!$B$9&amp;" - "&amp;'WD.1Dgl'!C35)</f>
        <v>Laden - Standardtraktor</v>
      </c>
      <c r="C365" s="42" t="str">
        <f>IF('WD.1Dgl'!$C$30="","",'WD.1Dgl'!$C$30)</f>
        <v>Jauche</v>
      </c>
      <c r="D365" s="26">
        <f>IF('[2]E-WD.ILeist'!$F35="","",'[2]E-WD.ILeist'!$F35)</f>
        <v>0.11666666666666667</v>
      </c>
      <c r="E365" s="27"/>
      <c r="F365" s="27"/>
      <c r="H365" s="28">
        <f>IF('WD.1Dgl'!$F35="","",'WD.1Dgl'!$F35)</f>
        <v>0.11666666666666667</v>
      </c>
      <c r="I365" s="29" t="str">
        <f aca="true" t="shared" si="38" ref="I365:I370">IF(AND(D365="",H365=""),"",IF(H365=D365,"Richtig!",IF(H365="","Fehlt","Falsch")))</f>
        <v>Richtig!</v>
      </c>
      <c r="J365" s="30" t="str">
        <f>IF(OR(B365="-",N365="",AND(D365="",H365="")),"-",IF(I365="Richtig!",1,IF(I365="Formel: OK",0.5,IF(OR(I365="Falsch",I365="Fehlt"),0,""))))</f>
        <v>-</v>
      </c>
      <c r="K365" s="23">
        <f t="shared" si="25"/>
      </c>
      <c r="L365" s="24">
        <f t="shared" si="26"/>
      </c>
      <c r="N365" s="841"/>
    </row>
    <row r="366" spans="2:14" ht="12.75" hidden="1">
      <c r="B366" s="25" t="str">
        <f>IF('WD.1Dgl'!C36="","-",'WD.1Dgl'!$B$9&amp;" - "&amp;'WD.1Dgl'!C36)</f>
        <v>Laden - Vakuumfass</v>
      </c>
      <c r="C366" s="42" t="str">
        <f>IF('WD.1Dgl'!$C$30="","",'WD.1Dgl'!$C$30)</f>
        <v>Jauche</v>
      </c>
      <c r="D366" s="26">
        <f>IF('[2]E-WD.ILeist'!$F36="","",'[2]E-WD.ILeist'!$F36)</f>
        <v>0.11666666666666667</v>
      </c>
      <c r="E366" s="27"/>
      <c r="F366" s="27"/>
      <c r="H366" s="28">
        <f>IF('WD.1Dgl'!$F36="","",'WD.1Dgl'!$F36)</f>
        <v>0.11666666666666667</v>
      </c>
      <c r="I366" s="29" t="str">
        <f t="shared" si="38"/>
        <v>Richtig!</v>
      </c>
      <c r="J366" s="30" t="str">
        <f aca="true" t="shared" si="39" ref="J366:J429">IF(OR(B366="-",N366="",AND(D366="",H366="")),"-",IF(I366="Richtig!",1,IF(I366="Formel: OK",0.5,IF(OR(I366="Falsch",I366="Fehlt"),0,""))))</f>
        <v>-</v>
      </c>
      <c r="K366" s="23">
        <f aca="true" t="shared" si="40" ref="K366:K429">IF(L366="","","│")</f>
      </c>
      <c r="L366" s="24">
        <f aca="true" t="shared" si="41" ref="L366:L429">IF(OR(B366="-",N366="",AND(D366="",H366="")),"",1)</f>
      </c>
      <c r="N366" s="841"/>
    </row>
    <row r="367" spans="2:14" ht="12.75" hidden="1">
      <c r="B367" s="25" t="str">
        <f>IF('WD.1Dgl'!C38="","-",'WD.1Dgl'!$B$12&amp;" - "&amp;'WD.1Dgl'!C38)</f>
        <v>Transport - Standardtraktor</v>
      </c>
      <c r="C367" s="42" t="str">
        <f>IF('WD.1Dgl'!$C$30="","",'WD.1Dgl'!$C$30)</f>
        <v>Jauche</v>
      </c>
      <c r="D367" s="26">
        <f>IF('[2]E-WD.ILeist'!$F38="","",'[2]E-WD.ILeist'!$F38)</f>
        <v>0.8333333333333334</v>
      </c>
      <c r="E367" s="27"/>
      <c r="F367" s="27"/>
      <c r="H367" s="28">
        <f>IF('WD.1Dgl'!$F38="","",'WD.1Dgl'!$F38)</f>
        <v>0.8333333333333334</v>
      </c>
      <c r="I367" s="29" t="str">
        <f t="shared" si="38"/>
        <v>Richtig!</v>
      </c>
      <c r="J367" s="30" t="str">
        <f t="shared" si="39"/>
        <v>-</v>
      </c>
      <c r="K367" s="23">
        <f t="shared" si="40"/>
      </c>
      <c r="L367" s="24">
        <f t="shared" si="41"/>
      </c>
      <c r="N367" s="841"/>
    </row>
    <row r="368" spans="2:14" ht="12.75" hidden="1">
      <c r="B368" s="25" t="str">
        <f>IF('WD.1Dgl'!C39="","-",'WD.1Dgl'!$B$12&amp;" - "&amp;'WD.1Dgl'!C39)</f>
        <v>Transport - Vakuumfass</v>
      </c>
      <c r="C368" s="42" t="str">
        <f>IF('WD.1Dgl'!$C$30="","",'WD.1Dgl'!$C$30)</f>
        <v>Jauche</v>
      </c>
      <c r="D368" s="26">
        <f>IF('[2]E-WD.ILeist'!$F39="","",'[2]E-WD.ILeist'!$F39)</f>
        <v>0.8333333333333334</v>
      </c>
      <c r="E368" s="27"/>
      <c r="F368" s="27"/>
      <c r="H368" s="28">
        <f>IF('WD.1Dgl'!$F39="","",'WD.1Dgl'!$F39)</f>
        <v>0.8333333333333334</v>
      </c>
      <c r="I368" s="29" t="str">
        <f t="shared" si="38"/>
        <v>Richtig!</v>
      </c>
      <c r="J368" s="30" t="str">
        <f t="shared" si="39"/>
        <v>-</v>
      </c>
      <c r="K368" s="23">
        <f t="shared" si="40"/>
      </c>
      <c r="L368" s="24">
        <f t="shared" si="41"/>
      </c>
      <c r="N368" s="841"/>
    </row>
    <row r="369" spans="2:14" ht="12.75" hidden="1">
      <c r="B369" s="25" t="str">
        <f>IF('WD.1Dgl'!C41="","-",'WD.1Dgl'!$B$15&amp;" - "&amp;'WD.1Dgl'!C41)</f>
        <v>Ausbringung - Standardtraktor</v>
      </c>
      <c r="C369" s="42" t="str">
        <f>IF('WD.1Dgl'!$C$30="","",'WD.1Dgl'!$C$30)</f>
        <v>Jauche</v>
      </c>
      <c r="D369" s="26">
        <f>IF('[2]E-WD.ILeist'!$F41="","",'[2]E-WD.ILeist'!$F41)</f>
        <v>0.25</v>
      </c>
      <c r="E369" s="27"/>
      <c r="F369" s="27"/>
      <c r="H369" s="28">
        <f>IF('WD.1Dgl'!$F41="","",'WD.1Dgl'!$F41)</f>
        <v>0.25</v>
      </c>
      <c r="I369" s="29" t="str">
        <f t="shared" si="38"/>
        <v>Richtig!</v>
      </c>
      <c r="J369" s="30" t="str">
        <f t="shared" si="39"/>
        <v>-</v>
      </c>
      <c r="K369" s="23">
        <f t="shared" si="40"/>
      </c>
      <c r="L369" s="24">
        <f t="shared" si="41"/>
      </c>
      <c r="N369" s="841"/>
    </row>
    <row r="370" spans="2:14" ht="12.75" hidden="1">
      <c r="B370" s="25" t="str">
        <f>IF('WD.1Dgl'!C42="","-",'WD.1Dgl'!$B$15&amp;" - "&amp;'WD.1Dgl'!C42)</f>
        <v>Ausbringung - Vakuumfass</v>
      </c>
      <c r="C370" s="42" t="str">
        <f>IF('WD.1Dgl'!$C$30="","",'WD.1Dgl'!$C$30)</f>
        <v>Jauche</v>
      </c>
      <c r="D370" s="26">
        <f>IF('[2]E-WD.ILeist'!$F42="","",'[2]E-WD.ILeist'!$F42)</f>
        <v>0.25</v>
      </c>
      <c r="E370" s="27"/>
      <c r="F370" s="27"/>
      <c r="H370" s="28">
        <f>IF('WD.1Dgl'!$F42="","",'WD.1Dgl'!$F42)</f>
        <v>0.25</v>
      </c>
      <c r="I370" s="29" t="str">
        <f t="shared" si="38"/>
        <v>Richtig!</v>
      </c>
      <c r="J370" s="30" t="str">
        <f t="shared" si="39"/>
        <v>-</v>
      </c>
      <c r="K370" s="23">
        <f t="shared" si="40"/>
      </c>
      <c r="L370" s="24">
        <f t="shared" si="41"/>
      </c>
      <c r="N370" s="841"/>
    </row>
    <row r="371" spans="1:14" ht="12.75" hidden="1">
      <c r="A371" s="18"/>
      <c r="B371" s="18"/>
      <c r="C371" s="18"/>
      <c r="D371" s="19"/>
      <c r="H371" s="17"/>
      <c r="I371" s="21"/>
      <c r="J371" s="21"/>
      <c r="K371" s="23">
        <f t="shared" si="40"/>
      </c>
      <c r="L371" s="24">
        <f t="shared" si="41"/>
      </c>
      <c r="N371" s="842"/>
    </row>
    <row r="372" spans="1:14" ht="12.75" hidden="1">
      <c r="A372" s="17" t="s">
        <v>19</v>
      </c>
      <c r="B372" s="17" t="s">
        <v>534</v>
      </c>
      <c r="C372" s="18"/>
      <c r="D372" s="19"/>
      <c r="H372" s="17"/>
      <c r="I372" s="21"/>
      <c r="J372" s="21"/>
      <c r="K372" s="23">
        <f t="shared" si="40"/>
      </c>
      <c r="L372" s="24">
        <f t="shared" si="41"/>
      </c>
      <c r="N372" s="839"/>
    </row>
    <row r="373" spans="2:14" ht="12.75" hidden="1">
      <c r="B373" s="25" t="str">
        <f>IF('WD.1Dgl'!C35="","-",'WD.1Dgl'!$B$9&amp;" - "&amp;'WD.1Dgl'!C35)</f>
        <v>Laden - Standardtraktor</v>
      </c>
      <c r="C373" s="42" t="str">
        <f>IF('WD.1Dgl'!$C$30="","",'WD.1Dgl'!$C$30)</f>
        <v>Jauche</v>
      </c>
      <c r="D373" s="31">
        <f>IF('[2]E-WD.ILeist'!$G35="","",ROUND('[2]E-WD.ILeist'!$G35,5))</f>
        <v>0.38889</v>
      </c>
      <c r="E373" s="27"/>
      <c r="F373" s="32">
        <f>IF(OR(H365="",'WD.1Dgl'!$H$30=""),"-",ROUND(H365*10/'WD.1Dgl'!$H$30,5))</f>
        <v>0.38889</v>
      </c>
      <c r="H373" s="33">
        <f>IF('WD.1Dgl'!$G35="","",ROUND('WD.1Dgl'!$G35,5))</f>
        <v>0.38889</v>
      </c>
      <c r="I373" s="29" t="str">
        <f aca="true" t="shared" si="42" ref="I373:I378">IF(OR(B373="-",AND(D373="",H373="")),"",IF(H373=D373,"Richtig!",IF(AND(D373&lt;&gt;H373,F373=H373),"Formel: OK",IF(H373="","Fehlt","Falsch"))))</f>
        <v>Richtig!</v>
      </c>
      <c r="J373" s="30" t="str">
        <f t="shared" si="39"/>
        <v>-</v>
      </c>
      <c r="K373" s="23">
        <f t="shared" si="40"/>
      </c>
      <c r="L373" s="24">
        <f t="shared" si="41"/>
      </c>
      <c r="N373" s="841"/>
    </row>
    <row r="374" spans="2:14" ht="12.75" hidden="1">
      <c r="B374" s="25" t="str">
        <f>IF('WD.1Dgl'!C36="","-",'WD.1Dgl'!$B$9&amp;" - "&amp;'WD.1Dgl'!C36)</f>
        <v>Laden - Vakuumfass</v>
      </c>
      <c r="C374" s="42" t="str">
        <f>IF('WD.1Dgl'!$C$30="","",'WD.1Dgl'!$C$30)</f>
        <v>Jauche</v>
      </c>
      <c r="D374" s="31">
        <f>IF('[2]E-WD.ILeist'!$G36="","",'[2]E-WD.ILeist'!$G36)</f>
        <v>0.3888888888888889</v>
      </c>
      <c r="E374" s="27"/>
      <c r="F374" s="32">
        <f>IF(OR(H366="",'WD.1Dgl'!$H$30=""),"-",H366*100/'WD.1Dgl'!$H$30)</f>
        <v>3.888888888888889</v>
      </c>
      <c r="H374" s="33">
        <f>IF('WD.1Dgl'!$G36="","",'WD.1Dgl'!$G36)</f>
        <v>0.3888888888888889</v>
      </c>
      <c r="I374" s="29" t="str">
        <f t="shared" si="42"/>
        <v>Richtig!</v>
      </c>
      <c r="J374" s="30" t="str">
        <f t="shared" si="39"/>
        <v>-</v>
      </c>
      <c r="K374" s="23">
        <f t="shared" si="40"/>
      </c>
      <c r="L374" s="24">
        <f t="shared" si="41"/>
      </c>
      <c r="N374" s="841"/>
    </row>
    <row r="375" spans="2:14" ht="12.75" hidden="1">
      <c r="B375" s="25" t="str">
        <f>IF('WD.1Dgl'!C38="","-",'WD.1Dgl'!$B$12&amp;" - "&amp;'WD.1Dgl'!C38)</f>
        <v>Transport - Standardtraktor</v>
      </c>
      <c r="C375" s="42" t="str">
        <f>IF('WD.1Dgl'!$C$30="","",'WD.1Dgl'!$C$30)</f>
        <v>Jauche</v>
      </c>
      <c r="D375" s="31">
        <f>IF('[2]E-WD.ILeist'!$G38="","",'[2]E-WD.ILeist'!$G38)</f>
        <v>2.777777777777778</v>
      </c>
      <c r="E375" s="27"/>
      <c r="F375" s="32">
        <f>IF(OR(H367="",'WD.1Dgl'!$H$30=""),"-",H367*100/'WD.1Dgl'!$H$30)</f>
        <v>27.777777777777782</v>
      </c>
      <c r="H375" s="33">
        <f>IF('WD.1Dgl'!$G38="","",'WD.1Dgl'!$G38)</f>
        <v>2.7777777777777777</v>
      </c>
      <c r="I375" s="29" t="str">
        <f t="shared" si="42"/>
        <v>Richtig!</v>
      </c>
      <c r="J375" s="30" t="str">
        <f t="shared" si="39"/>
        <v>-</v>
      </c>
      <c r="K375" s="23">
        <f t="shared" si="40"/>
      </c>
      <c r="L375" s="24">
        <f t="shared" si="41"/>
      </c>
      <c r="N375" s="841"/>
    </row>
    <row r="376" spans="2:14" ht="12.75" hidden="1">
      <c r="B376" s="25" t="str">
        <f>IF('WD.1Dgl'!C39="","-",'WD.1Dgl'!$B$12&amp;" - "&amp;'WD.1Dgl'!C39)</f>
        <v>Transport - Vakuumfass</v>
      </c>
      <c r="C376" s="42" t="str">
        <f>IF('WD.1Dgl'!$C$30="","",'WD.1Dgl'!$C$30)</f>
        <v>Jauche</v>
      </c>
      <c r="D376" s="31">
        <f>IF('[2]E-WD.ILeist'!$G39="","",'[2]E-WD.ILeist'!$G39)</f>
        <v>2.777777777777778</v>
      </c>
      <c r="E376" s="27"/>
      <c r="F376" s="32">
        <f>IF(OR(H368="",'WD.1Dgl'!$H$30=""),"-",H368*100/'WD.1Dgl'!$H$30)</f>
        <v>27.777777777777782</v>
      </c>
      <c r="H376" s="33">
        <f>IF('WD.1Dgl'!$G39="","",'WD.1Dgl'!$G39)</f>
        <v>2.7777777777777777</v>
      </c>
      <c r="I376" s="29" t="str">
        <f t="shared" si="42"/>
        <v>Richtig!</v>
      </c>
      <c r="J376" s="30" t="str">
        <f t="shared" si="39"/>
        <v>-</v>
      </c>
      <c r="K376" s="23">
        <f t="shared" si="40"/>
      </c>
      <c r="L376" s="24">
        <f t="shared" si="41"/>
      </c>
      <c r="N376" s="841"/>
    </row>
    <row r="377" spans="2:14" ht="12.75" hidden="1">
      <c r="B377" s="25" t="str">
        <f>IF('WD.1Dgl'!C41="","-",'WD.1Dgl'!$B$15&amp;" - "&amp;'WD.1Dgl'!C41)</f>
        <v>Ausbringung - Standardtraktor</v>
      </c>
      <c r="C377" s="42" t="str">
        <f>IF('WD.1Dgl'!$C$30="","",'WD.1Dgl'!$C$30)</f>
        <v>Jauche</v>
      </c>
      <c r="D377" s="31">
        <f>IF('[2]E-WD.ILeist'!$G41="","",'[2]E-WD.ILeist'!$G41)</f>
        <v>0.8333333333333334</v>
      </c>
      <c r="E377" s="27"/>
      <c r="F377" s="32">
        <f>IF(OR(H369="",'WD.1Dgl'!$H$30=""),"-",H369*100/'WD.1Dgl'!$H$30)</f>
        <v>8.333333333333334</v>
      </c>
      <c r="H377" s="33">
        <f>IF('WD.1Dgl'!$G41="","",'WD.1Dgl'!$G41)</f>
        <v>0.8333333333333333</v>
      </c>
      <c r="I377" s="29" t="str">
        <f t="shared" si="42"/>
        <v>Richtig!</v>
      </c>
      <c r="J377" s="30" t="str">
        <f t="shared" si="39"/>
        <v>-</v>
      </c>
      <c r="K377" s="23">
        <f t="shared" si="40"/>
      </c>
      <c r="L377" s="24">
        <f t="shared" si="41"/>
      </c>
      <c r="N377" s="841"/>
    </row>
    <row r="378" spans="2:14" ht="12.75" hidden="1">
      <c r="B378" s="25" t="str">
        <f>IF('WD.1Dgl'!C42="","-",'WD.1Dgl'!$B$15&amp;" - "&amp;'WD.1Dgl'!C42)</f>
        <v>Ausbringung - Vakuumfass</v>
      </c>
      <c r="C378" s="42" t="str">
        <f>IF('WD.1Dgl'!$C$30="","",'WD.1Dgl'!$C$30)</f>
        <v>Jauche</v>
      </c>
      <c r="D378" s="31">
        <f>IF('[2]E-WD.ILeist'!$G42="","",'[2]E-WD.ILeist'!$G42)</f>
        <v>0.8333333333333334</v>
      </c>
      <c r="E378" s="27"/>
      <c r="F378" s="32">
        <f>IF(OR(H370="",'WD.1Dgl'!$H$30=""),"-",H370*100/'WD.1Dgl'!$H$30)</f>
        <v>8.333333333333334</v>
      </c>
      <c r="H378" s="33">
        <f>IF('WD.1Dgl'!$G42="","",'WD.1Dgl'!$G42)</f>
        <v>0.8333333333333333</v>
      </c>
      <c r="I378" s="29" t="str">
        <f t="shared" si="42"/>
        <v>Richtig!</v>
      </c>
      <c r="J378" s="30" t="str">
        <f t="shared" si="39"/>
        <v>-</v>
      </c>
      <c r="K378" s="23">
        <f t="shared" si="40"/>
      </c>
      <c r="L378" s="24">
        <f t="shared" si="41"/>
      </c>
      <c r="N378" s="841"/>
    </row>
    <row r="379" spans="1:14" ht="12.75" hidden="1">
      <c r="A379" s="18"/>
      <c r="B379" s="18"/>
      <c r="C379" s="18"/>
      <c r="D379" s="19"/>
      <c r="H379" s="17"/>
      <c r="I379" s="21"/>
      <c r="J379" s="21"/>
      <c r="K379" s="23">
        <f t="shared" si="40"/>
      </c>
      <c r="L379" s="24">
        <f t="shared" si="41"/>
      </c>
      <c r="N379" s="842"/>
    </row>
    <row r="380" spans="1:14" ht="12.75" hidden="1">
      <c r="A380" s="17" t="s">
        <v>23</v>
      </c>
      <c r="B380" s="17" t="s">
        <v>49</v>
      </c>
      <c r="C380" s="18"/>
      <c r="D380" s="19"/>
      <c r="H380" s="17"/>
      <c r="I380" s="21"/>
      <c r="J380" s="21"/>
      <c r="K380" s="23">
        <f t="shared" si="40"/>
      </c>
      <c r="L380" s="24">
        <f t="shared" si="41"/>
      </c>
      <c r="N380" s="839"/>
    </row>
    <row r="381" spans="1:14" ht="12.75" hidden="1">
      <c r="A381" s="17"/>
      <c r="B381" s="25" t="str">
        <f>IF('WD.1Dgl'!C35="","-",'WD.1Dgl'!$B$9&amp;" - "&amp;'WD.1Dgl'!C35)</f>
        <v>Laden - Standardtraktor</v>
      </c>
      <c r="C381" s="42" t="str">
        <f>IF('WD.1Dgl'!$C$30="","",'WD.1Dgl'!$C$30)</f>
        <v>Jauche</v>
      </c>
      <c r="D381" s="31">
        <f>IF('[2]E-WD.ILeist'!$I35="","",'[2]E-WD.ILeist'!$I35)</f>
        <v>2.8544444444444443</v>
      </c>
      <c r="E381" s="27"/>
      <c r="F381" s="32">
        <f>IF(OR(H373="",'WD.1Dgl'!H35=""),"-",H373*'WD.1Dgl'!H35)</f>
        <v>2.8544526</v>
      </c>
      <c r="H381" s="33">
        <f>IF('WD.1Dgl'!$I35="","",'WD.1Dgl'!$I35)</f>
        <v>2.8544444444444443</v>
      </c>
      <c r="I381" s="29" t="str">
        <f aca="true" t="shared" si="43" ref="I381:I392">IF(OR(B381="-",AND(D381="",H381="")),"",IF(H381=D381,"Richtig!",IF(AND(D381&lt;&gt;H381,F381=H381),"Formel: OK",IF(H381="","Fehlt","Falsch"))))</f>
        <v>Richtig!</v>
      </c>
      <c r="J381" s="30" t="str">
        <f t="shared" si="39"/>
        <v>-</v>
      </c>
      <c r="K381" s="23">
        <f t="shared" si="40"/>
      </c>
      <c r="L381" s="24">
        <f t="shared" si="41"/>
      </c>
      <c r="N381" s="841"/>
    </row>
    <row r="382" spans="1:14" ht="12.75" hidden="1">
      <c r="A382" s="17"/>
      <c r="B382" s="25" t="str">
        <f>IF('WD.1Dgl'!C36="","-",'WD.1Dgl'!$B$9&amp;" - "&amp;'WD.1Dgl'!C36)</f>
        <v>Laden - Vakuumfass</v>
      </c>
      <c r="C382" s="42" t="str">
        <f>IF('WD.1Dgl'!$C$30="","",'WD.1Dgl'!$C$30)</f>
        <v>Jauche</v>
      </c>
      <c r="D382" s="31">
        <f>IF('[2]E-WD.ILeist'!$I36="","",'[2]E-WD.ILeist'!$I36)</f>
        <v>0.49</v>
      </c>
      <c r="E382" s="27"/>
      <c r="F382" s="32">
        <f>IF(OR(H374="",'WD.1Dgl'!H36=""),"-",H374*'WD.1Dgl'!H36)</f>
        <v>0.49</v>
      </c>
      <c r="H382" s="33">
        <f>IF('WD.1Dgl'!$I36="","",'WD.1Dgl'!$I36)</f>
        <v>0.49</v>
      </c>
      <c r="I382" s="29" t="str">
        <f t="shared" si="43"/>
        <v>Richtig!</v>
      </c>
      <c r="J382" s="30" t="str">
        <f t="shared" si="39"/>
        <v>-</v>
      </c>
      <c r="K382" s="23">
        <f t="shared" si="40"/>
      </c>
      <c r="L382" s="24">
        <f t="shared" si="41"/>
      </c>
      <c r="N382" s="841"/>
    </row>
    <row r="383" spans="2:14" ht="12.75" hidden="1">
      <c r="B383" s="25" t="str">
        <f>IF('WD.1Dgl'!C38="","-",'WD.1Dgl'!$B$12&amp;" - "&amp;'WD.1Dgl'!C38)</f>
        <v>Transport - Standardtraktor</v>
      </c>
      <c r="C383" s="42" t="str">
        <f>IF('WD.1Dgl'!$C$30="","",'WD.1Dgl'!$C$30)</f>
        <v>Jauche</v>
      </c>
      <c r="D383" s="31">
        <f>IF('[2]E-WD.ILeist'!$I38="","",'[2]E-WD.ILeist'!$I38)</f>
        <v>20.38888888888889</v>
      </c>
      <c r="E383" s="27"/>
      <c r="F383" s="32">
        <f>IF(OR(H375="",'WD.1Dgl'!H38=""),"-",H375*'WD.1Dgl'!H38)</f>
        <v>20.38888888888889</v>
      </c>
      <c r="H383" s="33">
        <f>IF('WD.1Dgl'!$I38="","",'WD.1Dgl'!$I38)</f>
        <v>20.38888888888889</v>
      </c>
      <c r="I383" s="29" t="str">
        <f t="shared" si="43"/>
        <v>Richtig!</v>
      </c>
      <c r="J383" s="30" t="str">
        <f t="shared" si="39"/>
        <v>-</v>
      </c>
      <c r="K383" s="23">
        <f t="shared" si="40"/>
      </c>
      <c r="L383" s="24">
        <f t="shared" si="41"/>
      </c>
      <c r="N383" s="841"/>
    </row>
    <row r="384" spans="2:14" ht="12.75" hidden="1">
      <c r="B384" s="25" t="str">
        <f>IF('WD.1Dgl'!C39="","-",'WD.1Dgl'!$B$12&amp;" - "&amp;'WD.1Dgl'!C39)</f>
        <v>Transport - Vakuumfass</v>
      </c>
      <c r="C384" s="42" t="str">
        <f>IF('WD.1Dgl'!$C$30="","",'WD.1Dgl'!$C$30)</f>
        <v>Jauche</v>
      </c>
      <c r="D384" s="31">
        <f>IF('[2]E-WD.ILeist'!$I39="","",'[2]E-WD.ILeist'!$I39)</f>
        <v>3.5000000000000004</v>
      </c>
      <c r="E384" s="27"/>
      <c r="F384" s="32">
        <f>IF(OR(H376="",'WD.1Dgl'!H39=""),"-",H376*'WD.1Dgl'!H39)</f>
        <v>3.5</v>
      </c>
      <c r="H384" s="33">
        <f>IF('WD.1Dgl'!$I39="","",'WD.1Dgl'!$I39)</f>
        <v>3.5</v>
      </c>
      <c r="I384" s="29" t="str">
        <f t="shared" si="43"/>
        <v>Richtig!</v>
      </c>
      <c r="J384" s="30" t="str">
        <f t="shared" si="39"/>
        <v>-</v>
      </c>
      <c r="K384" s="23">
        <f t="shared" si="40"/>
      </c>
      <c r="L384" s="24">
        <f t="shared" si="41"/>
      </c>
      <c r="N384" s="841"/>
    </row>
    <row r="385" spans="2:14" ht="12.75" hidden="1">
      <c r="B385" s="25" t="str">
        <f>IF('WD.1Dgl'!C41="","-",'WD.1Dgl'!$B$15&amp;" - "&amp;'WD.1Dgl'!C41)</f>
        <v>Ausbringung - Standardtraktor</v>
      </c>
      <c r="C385" s="42" t="str">
        <f>IF('WD.1Dgl'!$C$30="","",'WD.1Dgl'!$C$30)</f>
        <v>Jauche</v>
      </c>
      <c r="D385" s="31">
        <f>IF('[2]E-WD.ILeist'!$I41="","",'[2]E-WD.ILeist'!$I41)</f>
        <v>6.116666666666667</v>
      </c>
      <c r="E385" s="27"/>
      <c r="F385" s="32">
        <f>IF('WD.1Dgl'!H41="","-",'WD.1Dgl'!H41)</f>
        <v>7.34</v>
      </c>
      <c r="H385" s="33">
        <f>IF('WD.1Dgl'!$I41="","",'WD.1Dgl'!$I41)</f>
        <v>6.116666666666666</v>
      </c>
      <c r="I385" s="29" t="str">
        <f t="shared" si="43"/>
        <v>Richtig!</v>
      </c>
      <c r="J385" s="30" t="str">
        <f t="shared" si="39"/>
        <v>-</v>
      </c>
      <c r="K385" s="23">
        <f t="shared" si="40"/>
      </c>
      <c r="L385" s="24">
        <f t="shared" si="41"/>
      </c>
      <c r="N385" s="841"/>
    </row>
    <row r="386" spans="2:14" ht="12.75" hidden="1">
      <c r="B386" s="25" t="str">
        <f>IF('WD.1Dgl'!C42="","-",'WD.1Dgl'!$B$15&amp;" - "&amp;'WD.1Dgl'!C42)</f>
        <v>Ausbringung - Vakuumfass</v>
      </c>
      <c r="C386" s="42" t="str">
        <f>IF('WD.1Dgl'!$C$30="","",'WD.1Dgl'!$C$30)</f>
        <v>Jauche</v>
      </c>
      <c r="D386" s="31">
        <f>IF('[2]E-WD.ILeist'!$I42="","",'[2]E-WD.ILeist'!$I42)</f>
        <v>1.05</v>
      </c>
      <c r="E386" s="27"/>
      <c r="F386" s="32">
        <f>IF('WD.1Dgl'!H42="","-",'WD.1Dgl'!H42)</f>
        <v>1.26</v>
      </c>
      <c r="H386" s="33">
        <f>IF('WD.1Dgl'!$I42="","",'WD.1Dgl'!$I42)</f>
        <v>1.0499999999999998</v>
      </c>
      <c r="I386" s="29" t="str">
        <f t="shared" si="43"/>
        <v>Richtig!</v>
      </c>
      <c r="J386" s="30" t="str">
        <f t="shared" si="39"/>
        <v>-</v>
      </c>
      <c r="K386" s="23">
        <f t="shared" si="40"/>
      </c>
      <c r="L386" s="24">
        <f t="shared" si="41"/>
      </c>
      <c r="N386" s="841"/>
    </row>
    <row r="387" spans="2:14" ht="12.75" hidden="1">
      <c r="B387" s="36" t="str">
        <f>'WD.1Dgl'!B43</f>
        <v>Summe variable Maschinenkosten - Jauche</v>
      </c>
      <c r="C387" s="42" t="str">
        <f>IF('WD.1Dgl'!$C$30="","",'WD.1Dgl'!$C$30)</f>
        <v>Jauche</v>
      </c>
      <c r="D387" s="31">
        <f>IF('[2]E-WD.ILeist'!$I43="","",'[2]E-WD.ILeist'!$I43)</f>
        <v>34.4</v>
      </c>
      <c r="E387" s="27"/>
      <c r="F387" s="32">
        <f>IF(AND(H381="",H382="",H383="",H384="",H385="",H386=""),"-",SUM(H381:H386))</f>
        <v>34.4</v>
      </c>
      <c r="H387" s="33">
        <f>IF('WD.1Dgl'!$I43="","",'WD.1Dgl'!$I43)</f>
        <v>34.4</v>
      </c>
      <c r="I387" s="29" t="str">
        <f t="shared" si="43"/>
        <v>Richtig!</v>
      </c>
      <c r="J387" s="30" t="str">
        <f t="shared" si="39"/>
        <v>-</v>
      </c>
      <c r="K387" s="23">
        <f t="shared" si="40"/>
      </c>
      <c r="L387" s="24">
        <f t="shared" si="41"/>
      </c>
      <c r="N387" s="841"/>
    </row>
    <row r="388" spans="1:14" ht="12.75" hidden="1">
      <c r="A388" s="18"/>
      <c r="B388" s="36" t="str">
        <f>'WD.1Dgl'!B44</f>
        <v>Summe variable Maschinenkosten inkl. MWSt</v>
      </c>
      <c r="C388" s="42" t="str">
        <f>IF('WD.1Dgl'!$C$30="","",'WD.1Dgl'!$C$30)</f>
        <v>Jauche</v>
      </c>
      <c r="D388" s="31">
        <f>IF('[2]E-WD.ILeist'!$I44="","",'[2]E-WD.ILeist'!$I44)</f>
        <v>41.28</v>
      </c>
      <c r="E388" s="27"/>
      <c r="F388" s="32">
        <f>IF(OR(H387="",'WD.1Dgl'!H44=""),"-",H387*(1+'WD.1Dgl'!H44))</f>
        <v>41.279999999999994</v>
      </c>
      <c r="H388" s="33">
        <f>IF('WD.1Dgl'!$I44="","",'WD.1Dgl'!$I44)</f>
        <v>41.28</v>
      </c>
      <c r="I388" s="29" t="str">
        <f t="shared" si="43"/>
        <v>Richtig!</v>
      </c>
      <c r="J388" s="30" t="str">
        <f t="shared" si="39"/>
        <v>-</v>
      </c>
      <c r="K388" s="23">
        <f t="shared" si="40"/>
      </c>
      <c r="L388" s="24">
        <f t="shared" si="41"/>
      </c>
      <c r="N388" s="841"/>
    </row>
    <row r="389" spans="1:14" ht="12.75" hidden="1">
      <c r="A389" s="17"/>
      <c r="B389" s="36" t="str">
        <f>'WD.1Dgl'!G45</f>
        <v>Aufschlag für Rüstzeit</v>
      </c>
      <c r="C389" s="42" t="str">
        <f>IF('WD.1Dgl'!$C$30="","",'WD.1Dgl'!$C$30)</f>
        <v>Jauche</v>
      </c>
      <c r="D389" s="31">
        <f>IF('[2]E-WD.ILeist'!$I45="","",'[2]E-WD.ILeist'!$I45)</f>
        <v>4.128</v>
      </c>
      <c r="E389" s="27"/>
      <c r="F389" s="32">
        <f>IF(OR(H388="",'WD.1Dgl'!H45=""),"-",H388*'WD.1Dgl'!H45)</f>
        <v>4.128</v>
      </c>
      <c r="H389" s="33">
        <f>IF('WD.1Dgl'!$I45="","",'WD.1Dgl'!$I45)</f>
        <v>4.128</v>
      </c>
      <c r="I389" s="29" t="str">
        <f t="shared" si="43"/>
        <v>Richtig!</v>
      </c>
      <c r="J389" s="30" t="str">
        <f t="shared" si="39"/>
        <v>-</v>
      </c>
      <c r="K389" s="23">
        <f t="shared" si="40"/>
      </c>
      <c r="L389" s="24">
        <f t="shared" si="41"/>
      </c>
      <c r="N389" s="841"/>
    </row>
    <row r="390" spans="1:14" ht="12.75" hidden="1">
      <c r="A390" s="18"/>
      <c r="B390" s="36" t="str">
        <f>'WD.1Dgl'!B46</f>
        <v>GESAMTE MASCHINENKOSTEN je 10 m³</v>
      </c>
      <c r="C390" s="42" t="str">
        <f>IF('WD.1Dgl'!$C$30="","",'WD.1Dgl'!$C$30)</f>
        <v>Jauche</v>
      </c>
      <c r="D390" s="31">
        <f>IF('[2]E-WD.ILeist'!$I46="","",'[2]E-WD.ILeist'!$I46)</f>
        <v>45.408</v>
      </c>
      <c r="E390" s="27"/>
      <c r="F390" s="32">
        <f>IF(AND(H388="",H389=""),"-",SUM(H388:H389))</f>
        <v>45.408</v>
      </c>
      <c r="H390" s="33">
        <f>IF('WD.1Dgl'!$I46="","",'WD.1Dgl'!$I46)</f>
        <v>45.408</v>
      </c>
      <c r="I390" s="29" t="str">
        <f t="shared" si="43"/>
        <v>Richtig!</v>
      </c>
      <c r="J390" s="30" t="str">
        <f t="shared" si="39"/>
        <v>-</v>
      </c>
      <c r="K390" s="23">
        <f t="shared" si="40"/>
      </c>
      <c r="L390" s="24">
        <f t="shared" si="41"/>
      </c>
      <c r="N390" s="841"/>
    </row>
    <row r="391" spans="1:14" ht="12.75" hidden="1">
      <c r="A391" s="18"/>
      <c r="B391" s="36" t="str">
        <f>MID('WD.1Dgl'!B46,1,27)&amp;'WD.1Dgl'!B49&amp;" "&amp;'WD.1Dgl'!C49</f>
        <v>GESAMTE MASCHINENKOSTEN je 8 m³</v>
      </c>
      <c r="C391" s="42" t="str">
        <f>IF('WD.1Dgl'!$C$30="","",'WD.1Dgl'!$C$30)</f>
        <v>Jauche</v>
      </c>
      <c r="D391" s="31">
        <f>IF('[2]E-WD.ILeist'!$I49="","",'[2]E-WD.ILeist'!$I49)</f>
        <v>36.3264</v>
      </c>
      <c r="E391" s="27"/>
      <c r="F391" s="32">
        <f>IF(OR(F390="-",'WD.1Dgl'!B49=""),"-",F390/10*'WD.1Dgl'!B49)</f>
        <v>36.3264</v>
      </c>
      <c r="H391" s="33">
        <f>IF('WD.1Dgl'!$I49="","",'WD.1Dgl'!$I49)</f>
        <v>36.3264</v>
      </c>
      <c r="I391" s="29" t="str">
        <f t="shared" si="43"/>
        <v>Richtig!</v>
      </c>
      <c r="J391" s="30" t="str">
        <f t="shared" si="39"/>
        <v>-</v>
      </c>
      <c r="K391" s="23">
        <f t="shared" si="40"/>
      </c>
      <c r="L391" s="24">
        <f t="shared" si="41"/>
      </c>
      <c r="N391" s="841"/>
    </row>
    <row r="392" spans="1:14" ht="12.75" hidden="1">
      <c r="A392" s="18"/>
      <c r="B392" s="36" t="str">
        <f>'WD.1Dgl'!B52</f>
        <v>Arbeitszeit/ha und Jahr</v>
      </c>
      <c r="C392" s="42" t="str">
        <f>IF('WD.1Dgl'!$C$30="","",'WD.1Dgl'!$C$30)</f>
        <v>Jauche</v>
      </c>
      <c r="D392" s="31">
        <f>IF('[2]E-WD.ILeist'!$G52="","",ROUND('[2]E-WD.ILeist'!$G52,5))</f>
        <v>3.2</v>
      </c>
      <c r="E392" s="27"/>
      <c r="F392" s="32">
        <f>IF(OR(AND(H373="",H375="",H377=""),'WD.1Dgl'!B49=""),"-",ROUND(SUM(H373,H375,H377)/10*'WD.1Dgl'!B49,5))</f>
        <v>3.2</v>
      </c>
      <c r="H392" s="33">
        <f>IF('WD.1Dgl'!$G52="","",ROUND('WD.1Dgl'!$G52,5))</f>
        <v>3.2</v>
      </c>
      <c r="I392" s="29" t="str">
        <f t="shared" si="43"/>
        <v>Richtig!</v>
      </c>
      <c r="J392" s="30" t="str">
        <f t="shared" si="39"/>
        <v>-</v>
      </c>
      <c r="K392" s="23">
        <f t="shared" si="40"/>
      </c>
      <c r="L392" s="24">
        <f t="shared" si="41"/>
      </c>
      <c r="N392" s="841"/>
    </row>
    <row r="393" spans="1:14" ht="12.75" hidden="1">
      <c r="A393" s="18"/>
      <c r="B393" s="18"/>
      <c r="C393" s="18"/>
      <c r="D393" s="19"/>
      <c r="H393" s="17"/>
      <c r="I393" s="21"/>
      <c r="J393" s="21"/>
      <c r="K393" s="23">
        <f t="shared" si="40"/>
      </c>
      <c r="L393" s="24">
        <f t="shared" si="41"/>
      </c>
      <c r="N393" s="842"/>
    </row>
    <row r="394" spans="1:14" ht="12.75" hidden="1">
      <c r="A394" s="17" t="s">
        <v>24</v>
      </c>
      <c r="B394" s="17" t="str">
        <f>'WD.1Dgl'!B54</f>
        <v>Gesamtbedarf pro Jahr bei Dauergrünland 1-schnittig</v>
      </c>
      <c r="C394" s="18"/>
      <c r="D394" s="19"/>
      <c r="H394" s="17"/>
      <c r="I394" s="21"/>
      <c r="J394" s="21"/>
      <c r="K394" s="23">
        <f t="shared" si="40"/>
      </c>
      <c r="L394" s="24">
        <f t="shared" si="41"/>
      </c>
      <c r="N394" s="839"/>
    </row>
    <row r="395" spans="1:14" ht="12.75" hidden="1">
      <c r="A395" s="18"/>
      <c r="B395" s="36" t="str">
        <f>'WD.1Dgl'!B57</f>
        <v>Bedarf an: Festmist</v>
      </c>
      <c r="C395" s="42" t="str">
        <f>IF('WD.1Dgl'!$C$30="","",'WD.1Dgl'!$C$30)</f>
        <v>Jauche</v>
      </c>
      <c r="D395" s="26">
        <f>IF('[2]E-WD.ILeist'!$G57="","",'[2]E-WD.ILeist'!$G57)</f>
        <v>270</v>
      </c>
      <c r="E395" s="27"/>
      <c r="F395" s="27"/>
      <c r="H395" s="28">
        <f>IF('WD.1Dgl'!$G57="","",'WD.1Dgl'!$G57)</f>
        <v>270</v>
      </c>
      <c r="I395" s="29" t="str">
        <f>IF(AND(D395="",H395=""),"",IF(H395=D395,"Richtig!",IF(H395="","Fehlt","Falsch")))</f>
        <v>Richtig!</v>
      </c>
      <c r="J395" s="30" t="str">
        <f t="shared" si="39"/>
        <v>-</v>
      </c>
      <c r="K395" s="23">
        <f t="shared" si="40"/>
      </c>
      <c r="L395" s="24">
        <f t="shared" si="41"/>
      </c>
      <c r="N395" s="841"/>
    </row>
    <row r="396" spans="1:14" ht="12.75" hidden="1">
      <c r="A396" s="18"/>
      <c r="B396" s="36" t="str">
        <f>'WD.1Dgl'!B58</f>
        <v>                   Jauche</v>
      </c>
      <c r="C396" s="42" t="str">
        <f>IF('WD.1Dgl'!$C$30="","",'WD.1Dgl'!$C$30)</f>
        <v>Jauche</v>
      </c>
      <c r="D396" s="26">
        <f>IF('[2]E-WD.ILeist'!$G58="","",'[2]E-WD.ILeist'!$G58)</f>
        <v>21.6</v>
      </c>
      <c r="E396" s="27"/>
      <c r="F396" s="27"/>
      <c r="H396" s="28">
        <f>IF('WD.1Dgl'!$G58="","",'WD.1Dgl'!$G58)</f>
        <v>21.6</v>
      </c>
      <c r="I396" s="29" t="str">
        <f>IF(AND(D396="",H396=""),"",IF(H396=D396,"Richtig!",IF(H396="","Fehlt","Falsch")))</f>
        <v>Richtig!</v>
      </c>
      <c r="J396" s="30" t="str">
        <f t="shared" si="39"/>
        <v>-</v>
      </c>
      <c r="K396" s="23">
        <f t="shared" si="40"/>
      </c>
      <c r="L396" s="24">
        <f t="shared" si="41"/>
      </c>
      <c r="N396" s="841"/>
    </row>
    <row r="397" spans="1:14" ht="12.75" hidden="1">
      <c r="A397" s="18"/>
      <c r="B397" s="36" t="str">
        <f>'WD.1Dgl'!B59</f>
        <v>Arbeitszeitbedarf - gesamt (Festmist und Jauche)</v>
      </c>
      <c r="C397" s="42" t="str">
        <f>IF('WD.1Dgl'!$C$30="","",'WD.1Dgl'!$C$30)</f>
        <v>Jauche</v>
      </c>
      <c r="D397" s="31">
        <f>IF('[2]E-WD.ILeist'!$G59="","",'[2]E-WD.ILeist'!$G59)</f>
        <v>6.283333333333334</v>
      </c>
      <c r="E397" s="27"/>
      <c r="F397" s="32">
        <f>IF(AND(H362="",H392=""),"-",SUM(H362,H392))</f>
        <v>6.283333333333333</v>
      </c>
      <c r="H397" s="33">
        <f>IF('WD.1Dgl'!$G59="","",'WD.1Dgl'!$G59)</f>
        <v>6.283333333333333</v>
      </c>
      <c r="I397" s="29" t="str">
        <f>IF(OR(B397="-",AND(D397="",H397="")),"",IF(H397=D397,"Richtig!",IF(AND(D397&lt;&gt;H397,F397=H397),"Formel: OK",IF(H397="","Fehlt","Falsch"))))</f>
        <v>Richtig!</v>
      </c>
      <c r="J397" s="30" t="str">
        <f t="shared" si="39"/>
        <v>-</v>
      </c>
      <c r="K397" s="23">
        <f t="shared" si="40"/>
      </c>
      <c r="L397" s="24">
        <f t="shared" si="41"/>
      </c>
      <c r="N397" s="841"/>
    </row>
    <row r="398" spans="1:14" ht="12.75" customHeight="1">
      <c r="A398" s="18"/>
      <c r="B398" s="18"/>
      <c r="C398" s="18"/>
      <c r="D398" s="19"/>
      <c r="H398" s="20"/>
      <c r="I398" s="21"/>
      <c r="J398" s="21"/>
      <c r="K398" s="23">
        <f t="shared" si="40"/>
      </c>
      <c r="L398" s="24">
        <f t="shared" si="41"/>
      </c>
      <c r="N398" s="842" t="str">
        <f>IF($L$1="","",$L$1)</f>
        <v>x</v>
      </c>
    </row>
    <row r="399" spans="1:14" ht="22.5">
      <c r="A399" s="10" t="str">
        <f>"VK "&amp;IF(1xDgl!B2="","",1xDgl!B2)</f>
        <v>VK Dauergrünland 1-schnittig</v>
      </c>
      <c r="B399" s="11"/>
      <c r="C399" s="12"/>
      <c r="D399" s="13" t="s">
        <v>4</v>
      </c>
      <c r="E399" s="13"/>
      <c r="F399" s="14" t="s">
        <v>5</v>
      </c>
      <c r="G399" s="12"/>
      <c r="H399" s="14" t="s">
        <v>6</v>
      </c>
      <c r="I399" s="15" t="str">
        <f>"Fehler"</f>
        <v>Fehler</v>
      </c>
      <c r="J399" s="16" t="s">
        <v>7</v>
      </c>
      <c r="K399" s="16"/>
      <c r="L399" s="16"/>
      <c r="N399" s="840" t="str">
        <f>IF($L$1="","",$L$1)</f>
        <v>x</v>
      </c>
    </row>
    <row r="400" spans="1:14" s="46" customFormat="1" ht="12.75">
      <c r="A400" s="43" t="s">
        <v>40</v>
      </c>
      <c r="B400" s="43" t="s">
        <v>50</v>
      </c>
      <c r="C400" s="44"/>
      <c r="D400" s="45"/>
      <c r="H400" s="47"/>
      <c r="I400" s="48"/>
      <c r="J400" s="48"/>
      <c r="K400" s="23">
        <f t="shared" si="40"/>
      </c>
      <c r="L400" s="24">
        <f t="shared" si="41"/>
      </c>
      <c r="M400" s="1"/>
      <c r="N400" s="839" t="str">
        <f>IF($L$1="","",$L$1)</f>
        <v>x</v>
      </c>
    </row>
    <row r="401" spans="2:14" s="46" customFormat="1" ht="12.75">
      <c r="B401" s="49" t="str">
        <f>IF(1xDgl!B13="","-",1xDgl!B13)</f>
        <v>  Abschleppen</v>
      </c>
      <c r="C401" s="44"/>
      <c r="D401" s="50">
        <f>IF('[2]E-ILeist'!$I13="","",'[2]E-ILeist'!$I13)</f>
        <v>2.3000000000000003</v>
      </c>
      <c r="E401" s="51"/>
      <c r="F401" s="51" t="s">
        <v>223</v>
      </c>
      <c r="H401" s="52">
        <f>IF(1xDgl!$I13="","",1xDgl!$I13)</f>
      </c>
      <c r="I401" s="53" t="str">
        <f aca="true" t="shared" si="44" ref="I401:I432">IF(OR(B401="-",AND(D401="",H401="")),"",IF(H401=D401,"Richtig!",IF(AND(D401&lt;&gt;H401,F401=H401),"Formel: OK",IF(H401="","Fehlt","Falsch"))))</f>
        <v>Fehlt</v>
      </c>
      <c r="J401" s="30">
        <f t="shared" si="39"/>
        <v>0</v>
      </c>
      <c r="K401" s="23" t="str">
        <f t="shared" si="40"/>
        <v>│</v>
      </c>
      <c r="L401" s="24">
        <f t="shared" si="41"/>
        <v>1</v>
      </c>
      <c r="M401" s="1"/>
      <c r="N401" s="841" t="str">
        <f>IF($L$1="","",$L$1)</f>
        <v>x</v>
      </c>
    </row>
    <row r="402" spans="2:14" s="46" customFormat="1" ht="12.75" hidden="1">
      <c r="B402" s="49" t="str">
        <f>IF(1xDgl!B14="","-",1xDgl!B14)</f>
        <v>  Pflegearbeiten</v>
      </c>
      <c r="C402" s="44"/>
      <c r="D402" s="50">
        <f>IF('[2]E-ILeist'!$I14="","",'[2]E-ILeist'!$I14)</f>
      </c>
      <c r="E402" s="51"/>
      <c r="F402" s="51"/>
      <c r="H402" s="52">
        <f>IF(1xDgl!$I14="","",1xDgl!$I14)</f>
      </c>
      <c r="I402" s="53">
        <f t="shared" si="44"/>
      </c>
      <c r="J402" s="30" t="str">
        <f t="shared" si="39"/>
        <v>-</v>
      </c>
      <c r="K402" s="23">
        <f t="shared" si="40"/>
      </c>
      <c r="L402" s="24">
        <f t="shared" si="41"/>
      </c>
      <c r="M402" s="1"/>
      <c r="N402" s="841"/>
    </row>
    <row r="403" spans="2:14" s="46" customFormat="1" ht="12.75" hidden="1">
      <c r="B403" s="49" t="str">
        <f>IF(1xDgl!B15="","-",1xDgl!B15)</f>
        <v>-</v>
      </c>
      <c r="C403" s="44"/>
      <c r="D403" s="50">
        <f>IF('[2]E-ILeist'!$I15="","",'[2]E-ILeist'!$I15)</f>
      </c>
      <c r="E403" s="51"/>
      <c r="F403" s="51"/>
      <c r="H403" s="52">
        <f>IF(1xDgl!$I15="","",1xDgl!$I15)</f>
      </c>
      <c r="I403" s="53">
        <f t="shared" si="44"/>
      </c>
      <c r="J403" s="30" t="str">
        <f t="shared" si="39"/>
        <v>-</v>
      </c>
      <c r="K403" s="23">
        <f t="shared" si="40"/>
      </c>
      <c r="L403" s="24">
        <f t="shared" si="41"/>
      </c>
      <c r="M403" s="1"/>
      <c r="N403" s="841"/>
    </row>
    <row r="404" spans="2:14" s="46" customFormat="1" ht="12.75" hidden="1">
      <c r="B404" s="54" t="s">
        <v>51</v>
      </c>
      <c r="C404" s="44"/>
      <c r="D404" s="50"/>
      <c r="E404" s="51"/>
      <c r="F404" s="51"/>
      <c r="H404" s="52"/>
      <c r="I404" s="53">
        <f t="shared" si="44"/>
      </c>
      <c r="J404" s="30" t="str">
        <f t="shared" si="39"/>
        <v>-</v>
      </c>
      <c r="K404" s="23">
        <f t="shared" si="40"/>
      </c>
      <c r="L404" s="24">
        <f t="shared" si="41"/>
      </c>
      <c r="M404" s="1"/>
      <c r="N404" s="841"/>
    </row>
    <row r="405" spans="2:14" s="46" customFormat="1" ht="12.75" hidden="1">
      <c r="B405" s="49" t="str">
        <f>1xDgl!C8&amp;" "&amp;1xDgl!C9</f>
        <v>AKh pro ha</v>
      </c>
      <c r="C405" s="44"/>
      <c r="D405" s="50">
        <f>IF('[2]E-ILeist'!$C16="","",'[2]E-ILeist'!$C16)</f>
        <v>12.783333333333335</v>
      </c>
      <c r="E405" s="51"/>
      <c r="F405" s="51"/>
      <c r="H405" s="52">
        <f>IF(1xDgl!$C16="","",1xDgl!$C16)</f>
        <v>14.633333333333333</v>
      </c>
      <c r="I405" s="53" t="str">
        <f t="shared" si="44"/>
        <v>Falsch</v>
      </c>
      <c r="J405" s="30" t="str">
        <f t="shared" si="39"/>
        <v>-</v>
      </c>
      <c r="K405" s="23">
        <f t="shared" si="40"/>
      </c>
      <c r="L405" s="24">
        <f t="shared" si="41"/>
      </c>
      <c r="M405" s="1"/>
      <c r="N405" s="841"/>
    </row>
    <row r="406" spans="2:14" s="46" customFormat="1" ht="12.75" hidden="1">
      <c r="B406" s="49" t="str">
        <f>IF(1xDgl!D9="","-",1xDgl!D8&amp;" - "&amp;1xDgl!D9&amp;" KW")</f>
        <v>Traktorstunden pro ha - 45 KW</v>
      </c>
      <c r="C406" s="44"/>
      <c r="D406" s="50">
        <f>IF('[2]E-ILeist'!$D16="","",'[2]E-ILeist'!$D16)</f>
        <v>2.5</v>
      </c>
      <c r="E406" s="51"/>
      <c r="F406" s="51"/>
      <c r="H406" s="52">
        <f>IF(1xDgl!$D16="","",1xDgl!$D16)</f>
        <v>2.5</v>
      </c>
      <c r="I406" s="53" t="str">
        <f t="shared" si="44"/>
        <v>Richtig!</v>
      </c>
      <c r="J406" s="30" t="str">
        <f t="shared" si="39"/>
        <v>-</v>
      </c>
      <c r="K406" s="23">
        <f t="shared" si="40"/>
      </c>
      <c r="L406" s="24">
        <f t="shared" si="41"/>
      </c>
      <c r="M406" s="1"/>
      <c r="N406" s="841"/>
    </row>
    <row r="407" spans="2:14" s="46" customFormat="1" ht="12.75" hidden="1">
      <c r="B407" s="49" t="str">
        <f>IF(1xDgl!E9="","-",1xDgl!D8&amp;" - "&amp;1xDgl!E9&amp;" KW")</f>
        <v>-</v>
      </c>
      <c r="C407" s="44"/>
      <c r="D407" s="50">
        <f>IF('[2]E-ILeist'!$E16="","",'[2]E-ILeist'!$E16)</f>
      </c>
      <c r="E407" s="51"/>
      <c r="F407" s="51"/>
      <c r="H407" s="52">
        <f>IF(1xDgl!$E16="","",1xDgl!$E16)</f>
      </c>
      <c r="I407" s="53">
        <f t="shared" si="44"/>
      </c>
      <c r="J407" s="30" t="str">
        <f t="shared" si="39"/>
        <v>-</v>
      </c>
      <c r="K407" s="23">
        <f t="shared" si="40"/>
      </c>
      <c r="L407" s="24">
        <f t="shared" si="41"/>
      </c>
      <c r="M407" s="1"/>
      <c r="N407" s="841"/>
    </row>
    <row r="408" spans="2:14" s="46" customFormat="1" ht="12.75" hidden="1">
      <c r="B408" s="49" t="str">
        <f>IF(1xDgl!F9="","-",1xDgl!D8&amp;" - "&amp;1xDgl!F9&amp;" KW")</f>
        <v>-</v>
      </c>
      <c r="C408" s="44"/>
      <c r="D408" s="50">
        <f>IF('[2]E-ILeist'!$F16="","",'[2]E-ILeist'!$F16)</f>
      </c>
      <c r="E408" s="51"/>
      <c r="F408" s="51"/>
      <c r="H408" s="52">
        <f>IF(1xDgl!$F16="","",1xDgl!$F16)</f>
      </c>
      <c r="I408" s="53">
        <f t="shared" si="44"/>
      </c>
      <c r="J408" s="30" t="str">
        <f t="shared" si="39"/>
        <v>-</v>
      </c>
      <c r="K408" s="23">
        <f t="shared" si="40"/>
      </c>
      <c r="L408" s="24">
        <f t="shared" si="41"/>
      </c>
      <c r="M408" s="1"/>
      <c r="N408" s="841"/>
    </row>
    <row r="409" spans="2:14" s="46" customFormat="1" ht="12.75">
      <c r="B409" s="54" t="str">
        <f>1xDgl!H8&amp;" "&amp;1xDgl!I9</f>
        <v>Variable Maschinenkosten € gesamt</v>
      </c>
      <c r="C409" s="44"/>
      <c r="D409" s="55">
        <f>IF('[2]E-ILeist'!$I16="","",'[2]E-ILeist'!$I16)</f>
        <v>64.11633333333334</v>
      </c>
      <c r="E409" s="51"/>
      <c r="F409" s="56">
        <f>IF(AND(1xDgl!I11="",1xDgl!I12="",1xDgl!I13="",1xDgl!I14="",1xDgl!I15=""),"-",SUM(1xDgl!I11:I15))</f>
        <v>30.272000000000002</v>
      </c>
      <c r="H409" s="57">
        <f>IF(1xDgl!$I16="","",1xDgl!$I16)</f>
      </c>
      <c r="I409" s="53" t="str">
        <f t="shared" si="44"/>
        <v>Fehlt</v>
      </c>
      <c r="J409" s="30">
        <f t="shared" si="39"/>
        <v>0</v>
      </c>
      <c r="K409" s="23" t="str">
        <f t="shared" si="40"/>
        <v>│</v>
      </c>
      <c r="L409" s="24">
        <f t="shared" si="41"/>
        <v>1</v>
      </c>
      <c r="M409" s="1"/>
      <c r="N409" s="841" t="str">
        <f>IF($L$1="","",$L$1)</f>
        <v>x</v>
      </c>
    </row>
    <row r="410" spans="1:14" ht="12.75">
      <c r="A410" s="18"/>
      <c r="B410" s="18"/>
      <c r="C410" s="18"/>
      <c r="D410" s="19"/>
      <c r="H410" s="17"/>
      <c r="I410" s="21"/>
      <c r="J410" s="21"/>
      <c r="K410" s="23"/>
      <c r="L410" s="24"/>
      <c r="N410" s="842" t="str">
        <f>IF($L$1="","",$L$1)</f>
        <v>x</v>
      </c>
    </row>
    <row r="411" spans="1:14" ht="12.75">
      <c r="A411" s="17" t="s">
        <v>12</v>
      </c>
      <c r="B411" s="17" t="s">
        <v>52</v>
      </c>
      <c r="C411" s="18"/>
      <c r="D411" s="19"/>
      <c r="H411" s="17"/>
      <c r="I411" s="21"/>
      <c r="J411" s="21"/>
      <c r="K411" s="23"/>
      <c r="L411" s="24"/>
      <c r="N411" s="839" t="str">
        <f>IF($L$1="","",$L$1)</f>
        <v>x</v>
      </c>
    </row>
    <row r="412" spans="2:14" s="46" customFormat="1" ht="12.75" hidden="1">
      <c r="B412" s="49" t="str">
        <f>IF(1xDgl!B18="","-",1xDgl!B18)</f>
        <v>  Mähen</v>
      </c>
      <c r="C412" s="44"/>
      <c r="D412" s="50">
        <f>IF('[2]E-ILeist'!$I18="","",'[2]E-ILeist'!$I18)</f>
        <v>4.4</v>
      </c>
      <c r="E412" s="51"/>
      <c r="F412" s="51"/>
      <c r="H412" s="52">
        <f>IF(1xDgl!$I18="","",1xDgl!$I18)</f>
        <v>4.4</v>
      </c>
      <c r="I412" s="53" t="str">
        <f t="shared" si="44"/>
        <v>Richtig!</v>
      </c>
      <c r="J412" s="30" t="str">
        <f t="shared" si="39"/>
        <v>-</v>
      </c>
      <c r="K412" s="23">
        <f t="shared" si="40"/>
      </c>
      <c r="L412" s="24">
        <f t="shared" si="41"/>
      </c>
      <c r="M412" s="1"/>
      <c r="N412" s="841"/>
    </row>
    <row r="413" spans="2:14" s="46" customFormat="1" ht="12.75">
      <c r="B413" s="49" t="str">
        <f>IF(1xDgl!B19="","-",1xDgl!B19)</f>
        <v>  Zetten&amp;Wenden</v>
      </c>
      <c r="C413" s="44"/>
      <c r="D413" s="50">
        <f>IF('[2]E-ILeist'!$I19="","",'[2]E-ILeist'!$I19)</f>
        <v>4.5</v>
      </c>
      <c r="E413" s="51"/>
      <c r="F413" s="51" t="s">
        <v>223</v>
      </c>
      <c r="H413" s="52">
        <f>IF(1xDgl!$I19="","",1xDgl!$I19)</f>
      </c>
      <c r="I413" s="53" t="str">
        <f t="shared" si="44"/>
        <v>Fehlt</v>
      </c>
      <c r="J413" s="30">
        <f t="shared" si="39"/>
        <v>0</v>
      </c>
      <c r="K413" s="23" t="str">
        <f t="shared" si="40"/>
        <v>│</v>
      </c>
      <c r="L413" s="24">
        <f t="shared" si="41"/>
        <v>1</v>
      </c>
      <c r="M413" s="1"/>
      <c r="N413" s="841" t="str">
        <f>IF($L$1="","",$L$1)</f>
        <v>x</v>
      </c>
    </row>
    <row r="414" spans="2:14" s="46" customFormat="1" ht="12.75">
      <c r="B414" s="49" t="str">
        <f>IF(1xDgl!B20="","-",1xDgl!B20)</f>
        <v>  Schwaden</v>
      </c>
      <c r="C414" s="44"/>
      <c r="D414" s="50">
        <f>IF('[2]E-ILeist'!$I20="","",'[2]E-ILeist'!$I20)</f>
        <v>1.42</v>
      </c>
      <c r="E414" s="51"/>
      <c r="F414" s="51" t="s">
        <v>223</v>
      </c>
      <c r="H414" s="52">
        <f>IF(1xDgl!$I20="","",1xDgl!$I20)</f>
      </c>
      <c r="I414" s="53" t="str">
        <f t="shared" si="44"/>
        <v>Fehlt</v>
      </c>
      <c r="J414" s="30">
        <f t="shared" si="39"/>
        <v>0</v>
      </c>
      <c r="K414" s="23" t="str">
        <f t="shared" si="40"/>
        <v>│</v>
      </c>
      <c r="L414" s="24">
        <f t="shared" si="41"/>
        <v>1</v>
      </c>
      <c r="M414" s="1"/>
      <c r="N414" s="841" t="str">
        <f>IF($L$1="","",$L$1)</f>
        <v>x</v>
      </c>
    </row>
    <row r="415" spans="2:14" s="46" customFormat="1" ht="12.75">
      <c r="B415" s="49" t="str">
        <f>IF(1xDgl!B21="","-",1xDgl!B21)</f>
        <v>  Laden&amp;Transport</v>
      </c>
      <c r="C415" s="44"/>
      <c r="D415" s="50">
        <f>IF('[2]E-ILeist'!$I21="","",'[2]E-ILeist'!$I21)</f>
        <v>25.200000000000003</v>
      </c>
      <c r="E415" s="51"/>
      <c r="F415" s="51" t="s">
        <v>223</v>
      </c>
      <c r="H415" s="52">
        <f>IF(1xDgl!$I21="","",1xDgl!$I21)</f>
      </c>
      <c r="I415" s="53" t="str">
        <f t="shared" si="44"/>
        <v>Fehlt</v>
      </c>
      <c r="J415" s="30">
        <f t="shared" si="39"/>
        <v>0</v>
      </c>
      <c r="K415" s="23" t="str">
        <f t="shared" si="40"/>
        <v>│</v>
      </c>
      <c r="L415" s="24">
        <f t="shared" si="41"/>
        <v>1</v>
      </c>
      <c r="M415" s="1"/>
      <c r="N415" s="841" t="str">
        <f>IF($L$1="","",$L$1)</f>
        <v>x</v>
      </c>
    </row>
    <row r="416" spans="2:14" s="46" customFormat="1" ht="12.75" hidden="1">
      <c r="B416" s="49" t="str">
        <f>IF(1xDgl!B22="","-",1xDgl!B22)</f>
        <v>  Einlagern</v>
      </c>
      <c r="C416" s="44"/>
      <c r="D416" s="50">
        <f>IF('[2]E-ILeist'!$I22="","",'[2]E-ILeist'!$I22)</f>
        <v>7.32</v>
      </c>
      <c r="E416" s="51"/>
      <c r="F416" s="51"/>
      <c r="H416" s="52">
        <f>IF(1xDgl!$I22="","",1xDgl!$I22)</f>
        <v>7.32</v>
      </c>
      <c r="I416" s="53" t="str">
        <f t="shared" si="44"/>
        <v>Richtig!</v>
      </c>
      <c r="J416" s="30" t="str">
        <f t="shared" si="39"/>
        <v>-</v>
      </c>
      <c r="K416" s="23">
        <f t="shared" si="40"/>
      </c>
      <c r="L416" s="24">
        <f t="shared" si="41"/>
      </c>
      <c r="M416" s="1"/>
      <c r="N416" s="841"/>
    </row>
    <row r="417" spans="2:14" s="46" customFormat="1" ht="12.75" hidden="1">
      <c r="B417" s="49" t="str">
        <f>IF(1xDgl!B23="","-",1xDgl!B23)</f>
        <v>-</v>
      </c>
      <c r="C417" s="44"/>
      <c r="D417" s="50">
        <f>IF('[2]E-ILeist'!$I23="","",'[2]E-ILeist'!$I23)</f>
      </c>
      <c r="E417" s="51"/>
      <c r="F417" s="51"/>
      <c r="H417" s="52">
        <f>IF(1xDgl!$I23="","",1xDgl!$I23)</f>
      </c>
      <c r="I417" s="53">
        <f t="shared" si="44"/>
      </c>
      <c r="J417" s="30" t="str">
        <f t="shared" si="39"/>
        <v>-</v>
      </c>
      <c r="K417" s="23">
        <f t="shared" si="40"/>
      </c>
      <c r="L417" s="24">
        <f t="shared" si="41"/>
      </c>
      <c r="M417" s="1"/>
      <c r="N417" s="841"/>
    </row>
    <row r="418" spans="2:14" s="46" customFormat="1" ht="12.75" hidden="1">
      <c r="B418" s="49" t="str">
        <f>IF(1xDgl!B24="","-",1xDgl!B24)</f>
        <v>-</v>
      </c>
      <c r="C418" s="44"/>
      <c r="D418" s="50">
        <f>IF('[2]E-ILeist'!$I24="","",'[2]E-ILeist'!$I24)</f>
      </c>
      <c r="E418" s="51"/>
      <c r="F418" s="51"/>
      <c r="H418" s="52">
        <f>IF(1xDgl!$I24="","",1xDgl!$I24)</f>
      </c>
      <c r="I418" s="53">
        <f t="shared" si="44"/>
      </c>
      <c r="J418" s="30" t="str">
        <f t="shared" si="39"/>
        <v>-</v>
      </c>
      <c r="K418" s="23">
        <f t="shared" si="40"/>
      </c>
      <c r="L418" s="24">
        <f t="shared" si="41"/>
      </c>
      <c r="M418" s="1"/>
      <c r="N418" s="841"/>
    </row>
    <row r="419" spans="2:14" s="46" customFormat="1" ht="12.75" hidden="1">
      <c r="B419" s="49" t="str">
        <f>IF(1xDgl!B25="","-",1xDgl!B25)</f>
        <v>-</v>
      </c>
      <c r="C419" s="44"/>
      <c r="D419" s="50">
        <f>IF('[2]E-ILeist'!$I25="","",'[2]E-ILeist'!$I25)</f>
      </c>
      <c r="E419" s="51"/>
      <c r="F419" s="51"/>
      <c r="H419" s="52">
        <f>IF(1xDgl!$I25="","",1xDgl!$I25)</f>
      </c>
      <c r="I419" s="53">
        <f t="shared" si="44"/>
      </c>
      <c r="J419" s="30" t="str">
        <f t="shared" si="39"/>
        <v>-</v>
      </c>
      <c r="K419" s="23">
        <f t="shared" si="40"/>
      </c>
      <c r="L419" s="24">
        <f t="shared" si="41"/>
      </c>
      <c r="M419" s="1"/>
      <c r="N419" s="841"/>
    </row>
    <row r="420" spans="2:14" s="46" customFormat="1" ht="12.75" hidden="1">
      <c r="B420" s="49" t="str">
        <f>IF(1xDgl!B26="","-",1xDgl!B26)</f>
        <v>-</v>
      </c>
      <c r="C420" s="44"/>
      <c r="D420" s="50">
        <f>IF('[2]E-ILeist'!$I26="","",'[2]E-ILeist'!$I26)</f>
      </c>
      <c r="E420" s="51"/>
      <c r="F420" s="51"/>
      <c r="H420" s="52">
        <f>IF(1xDgl!$I26="","",1xDgl!$I26)</f>
      </c>
      <c r="I420" s="53">
        <f t="shared" si="44"/>
      </c>
      <c r="J420" s="30" t="str">
        <f t="shared" si="39"/>
        <v>-</v>
      </c>
      <c r="K420" s="23">
        <f t="shared" si="40"/>
      </c>
      <c r="L420" s="24">
        <f t="shared" si="41"/>
      </c>
      <c r="M420" s="1"/>
      <c r="N420" s="841"/>
    </row>
    <row r="421" spans="2:14" s="46" customFormat="1" ht="12.75" hidden="1">
      <c r="B421" s="54" t="s">
        <v>53</v>
      </c>
      <c r="C421" s="44"/>
      <c r="D421" s="50"/>
      <c r="E421" s="51"/>
      <c r="F421" s="51"/>
      <c r="H421" s="52"/>
      <c r="I421" s="53">
        <f t="shared" si="44"/>
      </c>
      <c r="J421" s="30" t="str">
        <f t="shared" si="39"/>
        <v>-</v>
      </c>
      <c r="K421" s="23">
        <f t="shared" si="40"/>
      </c>
      <c r="L421" s="24">
        <f t="shared" si="41"/>
      </c>
      <c r="M421" s="1"/>
      <c r="N421" s="841"/>
    </row>
    <row r="422" spans="2:14" s="46" customFormat="1" ht="12.75" hidden="1">
      <c r="B422" s="49" t="str">
        <f>1xDgl!C8&amp;" "&amp;1xDgl!C9</f>
        <v>AKh pro ha</v>
      </c>
      <c r="C422" s="44"/>
      <c r="D422" s="50">
        <f>IF('[2]E-ILeist'!$C27="","",'[2]E-ILeist'!$C27)</f>
        <v>17.5</v>
      </c>
      <c r="E422" s="51"/>
      <c r="F422" s="51"/>
      <c r="H422" s="52">
        <f>IF(1xDgl!$C27="","",1xDgl!$C27)</f>
        <v>17.5</v>
      </c>
      <c r="I422" s="53" t="str">
        <f t="shared" si="44"/>
        <v>Richtig!</v>
      </c>
      <c r="J422" s="30" t="str">
        <f t="shared" si="39"/>
        <v>-</v>
      </c>
      <c r="K422" s="23">
        <f t="shared" si="40"/>
      </c>
      <c r="L422" s="24">
        <f t="shared" si="41"/>
      </c>
      <c r="M422" s="1"/>
      <c r="N422" s="841"/>
    </row>
    <row r="423" spans="2:14" s="46" customFormat="1" ht="12.75" hidden="1">
      <c r="B423" s="49" t="str">
        <f>IF(1xDgl!D9="","-",1xDgl!D8&amp;" - "&amp;1xDgl!D9&amp;" KW")</f>
        <v>Traktorstunden pro ha - 45 KW</v>
      </c>
      <c r="C423" s="44"/>
      <c r="D423" s="50">
        <f>IF('[2]E-ILeist'!$D27="","",'[2]E-ILeist'!$D27)</f>
        <v>17.5</v>
      </c>
      <c r="E423" s="51"/>
      <c r="F423" s="51"/>
      <c r="H423" s="52">
        <f>IF(1xDgl!$D27="","",1xDgl!$D27)</f>
        <v>17.5</v>
      </c>
      <c r="I423" s="53" t="str">
        <f t="shared" si="44"/>
        <v>Richtig!</v>
      </c>
      <c r="J423" s="30" t="str">
        <f t="shared" si="39"/>
        <v>-</v>
      </c>
      <c r="K423" s="23">
        <f t="shared" si="40"/>
      </c>
      <c r="L423" s="24">
        <f t="shared" si="41"/>
      </c>
      <c r="M423" s="1"/>
      <c r="N423" s="841"/>
    </row>
    <row r="424" spans="2:14" s="46" customFormat="1" ht="12.75" hidden="1">
      <c r="B424" s="49" t="str">
        <f>IF(1xDgl!E9="","-",1xDgl!D8&amp;" - "&amp;1xDgl!E9&amp;" KW")</f>
        <v>-</v>
      </c>
      <c r="C424" s="44"/>
      <c r="D424" s="50">
        <f>IF('[2]E-ILeist'!$E27="","",'[2]E-ILeist'!$E27)</f>
      </c>
      <c r="E424" s="51"/>
      <c r="F424" s="51"/>
      <c r="H424" s="52">
        <f>IF(1xDgl!$E27="","",1xDgl!$E27)</f>
      </c>
      <c r="I424" s="53">
        <f t="shared" si="44"/>
      </c>
      <c r="J424" s="30" t="str">
        <f t="shared" si="39"/>
        <v>-</v>
      </c>
      <c r="K424" s="23">
        <f t="shared" si="40"/>
      </c>
      <c r="L424" s="24">
        <f t="shared" si="41"/>
      </c>
      <c r="M424" s="1"/>
      <c r="N424" s="841"/>
    </row>
    <row r="425" spans="2:14" s="46" customFormat="1" ht="12.75" hidden="1">
      <c r="B425" s="49" t="str">
        <f>IF(1xDgl!F9="","-",1xDgl!D8&amp;" - "&amp;1xDgl!F9&amp;" KW")</f>
        <v>-</v>
      </c>
      <c r="C425" s="44"/>
      <c r="D425" s="50">
        <f>IF('[2]E-ILeist'!$F27="","",'[2]E-ILeist'!$F27)</f>
      </c>
      <c r="E425" s="51"/>
      <c r="F425" s="51"/>
      <c r="H425" s="52">
        <f>IF(1xDgl!$F27="","",1xDgl!$F27)</f>
      </c>
      <c r="I425" s="53">
        <f t="shared" si="44"/>
      </c>
      <c r="J425" s="30" t="str">
        <f t="shared" si="39"/>
        <v>-</v>
      </c>
      <c r="K425" s="23">
        <f t="shared" si="40"/>
      </c>
      <c r="L425" s="24">
        <f t="shared" si="41"/>
      </c>
      <c r="M425" s="1"/>
      <c r="N425" s="841"/>
    </row>
    <row r="426" spans="2:14" s="46" customFormat="1" ht="12.75">
      <c r="B426" s="54" t="str">
        <f>1xDgl!H8&amp;" "&amp;1xDgl!I9</f>
        <v>Variable Maschinenkosten € gesamt</v>
      </c>
      <c r="C426" s="44"/>
      <c r="D426" s="55">
        <f>IF('[2]E-ILeist'!$I27="","",'[2]E-ILeist'!$I27)</f>
        <v>42.84</v>
      </c>
      <c r="E426" s="51"/>
      <c r="F426" s="56">
        <f>IF(AND(1xDgl!I18="",1xDgl!I19="",1xDgl!I20="",1xDgl!I21="",1xDgl!I22="",1xDgl!I23="",1xDgl!I24="",1xDgl!I25="",1xDgl!I26=""),"-",SUM(1xDgl!I18:I26))</f>
        <v>11.72</v>
      </c>
      <c r="H426" s="57">
        <f>IF(1xDgl!$I27="","",1xDgl!$I27)</f>
      </c>
      <c r="I426" s="53" t="str">
        <f t="shared" si="44"/>
        <v>Fehlt</v>
      </c>
      <c r="J426" s="30">
        <f t="shared" si="39"/>
        <v>0</v>
      </c>
      <c r="K426" s="23" t="str">
        <f t="shared" si="40"/>
        <v>│</v>
      </c>
      <c r="L426" s="24">
        <f t="shared" si="41"/>
        <v>1</v>
      </c>
      <c r="M426" s="1"/>
      <c r="N426" s="841" t="str">
        <f>IF($L$1="","",$L$1)</f>
        <v>x</v>
      </c>
    </row>
    <row r="427" spans="1:14" ht="12.75">
      <c r="A427" s="18"/>
      <c r="B427" s="18"/>
      <c r="C427" s="18"/>
      <c r="D427" s="19"/>
      <c r="H427" s="17"/>
      <c r="I427" s="21">
        <f t="shared" si="44"/>
      </c>
      <c r="J427" s="21"/>
      <c r="K427" s="23">
        <f t="shared" si="40"/>
      </c>
      <c r="L427" s="24">
        <f t="shared" si="41"/>
      </c>
      <c r="N427" s="842" t="str">
        <f>IF($L$1="","",$L$1)</f>
        <v>x</v>
      </c>
    </row>
    <row r="428" spans="1:14" ht="12.75">
      <c r="A428" s="17" t="s">
        <v>14</v>
      </c>
      <c r="B428" s="17" t="s">
        <v>54</v>
      </c>
      <c r="C428" s="18"/>
      <c r="D428" s="19"/>
      <c r="H428" s="17"/>
      <c r="I428" s="21">
        <f t="shared" si="44"/>
      </c>
      <c r="J428" s="21"/>
      <c r="K428" s="23">
        <f t="shared" si="40"/>
      </c>
      <c r="L428" s="24">
        <f t="shared" si="41"/>
      </c>
      <c r="N428" s="839" t="str">
        <f>IF($L$1="","",$L$1)</f>
        <v>x</v>
      </c>
    </row>
    <row r="429" spans="1:14" s="46" customFormat="1" ht="12.75">
      <c r="A429" s="43"/>
      <c r="B429" s="49" t="str">
        <f>IF(1xDgl!B29="","-",1xDgl!B29)</f>
        <v>Variable Kosten für den 45 KW-Traktor</v>
      </c>
      <c r="C429" s="44"/>
      <c r="D429" s="55">
        <f>IF('[2]E-ILeist'!$I29="","",'[2]E-ILeist'!$I29)</f>
        <v>146.8</v>
      </c>
      <c r="E429" s="51"/>
      <c r="F429" s="56">
        <f>IF(OR(1xDgl!G29="",1xDgl!H29=""),"-",1xDgl!G29*1xDgl!H29)</f>
        <v>146.8</v>
      </c>
      <c r="H429" s="57">
        <f>IF(1xDgl!$I29="","",1xDgl!$I29)</f>
      </c>
      <c r="I429" s="53" t="str">
        <f t="shared" si="44"/>
        <v>Fehlt</v>
      </c>
      <c r="J429" s="30">
        <f t="shared" si="39"/>
        <v>0</v>
      </c>
      <c r="K429" s="23" t="str">
        <f t="shared" si="40"/>
        <v>│</v>
      </c>
      <c r="L429" s="24">
        <f t="shared" si="41"/>
        <v>1</v>
      </c>
      <c r="M429" s="1"/>
      <c r="N429" s="841" t="str">
        <f>IF($L$1="","",$L$1)</f>
        <v>x</v>
      </c>
    </row>
    <row r="430" spans="1:14" s="46" customFormat="1" ht="12.75" hidden="1">
      <c r="A430" s="43"/>
      <c r="B430" s="49" t="str">
        <f>IF(1xDgl!B30="","-",1xDgl!B30)</f>
        <v>-</v>
      </c>
      <c r="C430" s="44"/>
      <c r="D430" s="55">
        <f>IF('[2]E-ILeist'!$I30="","",'[2]E-ILeist'!$I30)</f>
      </c>
      <c r="E430" s="51"/>
      <c r="F430" s="56" t="str">
        <f>IF(OR(1xDgl!G30="",1xDgl!H30=""),"-",1xDgl!G30*1xDgl!H30)</f>
        <v>-</v>
      </c>
      <c r="H430" s="57">
        <f>IF(1xDgl!$I30="","",1xDgl!$I30)</f>
      </c>
      <c r="I430" s="53">
        <f t="shared" si="44"/>
      </c>
      <c r="J430" s="30" t="str">
        <f aca="true" t="shared" si="45" ref="J430:J492">IF(OR(B430="-",N430="",AND(D430="",H430="")),"-",IF(I430="Richtig!",1,IF(I430="Formel: OK",0.5,IF(OR(I430="Falsch",I430="Fehlt"),0,""))))</f>
        <v>-</v>
      </c>
      <c r="K430" s="23">
        <f aca="true" t="shared" si="46" ref="K430:K491">IF(L430="","","│")</f>
      </c>
      <c r="L430" s="24">
        <f aca="true" t="shared" si="47" ref="L430:L493">IF(OR(B430="-",N430="",AND(D430="",H430="")),"",1)</f>
      </c>
      <c r="M430" s="1"/>
      <c r="N430" s="841"/>
    </row>
    <row r="431" spans="2:14" s="46" customFormat="1" ht="12.75" hidden="1">
      <c r="B431" s="49" t="str">
        <f>IF(1xDgl!B31="","-",1xDgl!B31)</f>
        <v>-</v>
      </c>
      <c r="C431" s="44"/>
      <c r="D431" s="55">
        <f>IF('[2]E-ILeist'!$I31="","",'[2]E-ILeist'!$I31)</f>
      </c>
      <c r="E431" s="51"/>
      <c r="F431" s="51">
        <f>IF(OR(1xDgl!G31="",1xDgl!H31=""),"",1xDgl!G31*1xDgl!H31)</f>
      </c>
      <c r="H431" s="57">
        <f>IF(1xDgl!$I31="","",1xDgl!$I31)</f>
      </c>
      <c r="I431" s="53">
        <f t="shared" si="44"/>
      </c>
      <c r="J431" s="30" t="str">
        <f t="shared" si="45"/>
        <v>-</v>
      </c>
      <c r="K431" s="23">
        <f t="shared" si="46"/>
      </c>
      <c r="L431" s="24">
        <f t="shared" si="47"/>
      </c>
      <c r="M431" s="1"/>
      <c r="N431" s="841"/>
    </row>
    <row r="432" spans="1:14" s="46" customFormat="1" ht="12.75" hidden="1">
      <c r="A432" s="58"/>
      <c r="B432" s="54" t="s">
        <v>55</v>
      </c>
      <c r="C432" s="44"/>
      <c r="D432" s="55">
        <f>IF('[2]E-ILeist'!$I32="","",'[2]E-ILeist'!$I32)</f>
        <v>146.8</v>
      </c>
      <c r="E432" s="51"/>
      <c r="F432" s="56" t="str">
        <f>IF(AND(1xDgl!I29="",1xDgl!I30="",1xDgl!I31=""),"-",SUM(1xDgl!I29:I31))</f>
        <v>-</v>
      </c>
      <c r="H432" s="57">
        <f>IF(1xDgl!$I32="","",1xDgl!$I32)</f>
        <v>0</v>
      </c>
      <c r="I432" s="53" t="str">
        <f t="shared" si="44"/>
        <v>Falsch</v>
      </c>
      <c r="J432" s="30" t="str">
        <f t="shared" si="45"/>
        <v>-</v>
      </c>
      <c r="K432" s="23">
        <f t="shared" si="46"/>
      </c>
      <c r="L432" s="24">
        <f t="shared" si="47"/>
      </c>
      <c r="M432" s="1"/>
      <c r="N432" s="841"/>
    </row>
    <row r="433" spans="1:14" ht="12.75">
      <c r="A433" s="18"/>
      <c r="B433" s="18"/>
      <c r="C433" s="18"/>
      <c r="D433" s="19"/>
      <c r="H433" s="17"/>
      <c r="I433" s="21">
        <f aca="true" t="shared" si="48" ref="I433:I457">IF(OR(B433="-",AND(D433="",H433="")),"",IF(H433=D433,"Richtig!",IF(AND(D433&lt;&gt;H433,F433=H433),"Formel: OK",IF(H433="","Fehlt","Falsch"))))</f>
      </c>
      <c r="J433" s="21"/>
      <c r="K433" s="23">
        <f t="shared" si="46"/>
      </c>
      <c r="L433" s="24">
        <f t="shared" si="47"/>
      </c>
      <c r="N433" s="842" t="str">
        <f>IF($L$1="","",$L$1)</f>
        <v>x</v>
      </c>
    </row>
    <row r="434" spans="1:14" ht="12.75">
      <c r="A434" s="17" t="s">
        <v>17</v>
      </c>
      <c r="B434" s="17" t="s">
        <v>56</v>
      </c>
      <c r="C434" s="18"/>
      <c r="D434" s="19"/>
      <c r="H434" s="17"/>
      <c r="I434" s="21">
        <f t="shared" si="48"/>
      </c>
      <c r="J434" s="21"/>
      <c r="K434" s="23">
        <f t="shared" si="46"/>
      </c>
      <c r="L434" s="24">
        <f t="shared" si="47"/>
      </c>
      <c r="N434" s="839" t="str">
        <f>IF($L$1="","",$L$1)</f>
        <v>x</v>
      </c>
    </row>
    <row r="435" spans="2:14" s="46" customFormat="1" ht="12.75">
      <c r="B435" s="49" t="str">
        <f>IF(1xDgl!B34="","-",MID(1xDgl!B34,1,17)&amp;1xDgl!I9)</f>
        <v>Belüftungskosten€ gesamt</v>
      </c>
      <c r="C435" s="44"/>
      <c r="D435" s="50">
        <f>IF('[2]E-ILeist'!$I34="","",'[2]E-ILeist'!$I34)</f>
        <v>31.499999999999996</v>
      </c>
      <c r="E435" s="51"/>
      <c r="F435" s="51" t="s">
        <v>223</v>
      </c>
      <c r="H435" s="52">
        <f>IF(1xDgl!$I34="","",1xDgl!$I34)</f>
      </c>
      <c r="I435" s="53" t="str">
        <f t="shared" si="48"/>
        <v>Fehlt</v>
      </c>
      <c r="J435" s="30">
        <f t="shared" si="45"/>
        <v>0</v>
      </c>
      <c r="K435" s="23" t="str">
        <f t="shared" si="46"/>
        <v>│</v>
      </c>
      <c r="L435" s="24">
        <f t="shared" si="47"/>
        <v>1</v>
      </c>
      <c r="M435" s="1"/>
      <c r="N435" s="841" t="str">
        <f>IF($L$1="","",$L$1)</f>
        <v>x</v>
      </c>
    </row>
    <row r="436" spans="1:14" s="46" customFormat="1" ht="12.75" hidden="1">
      <c r="A436" s="58"/>
      <c r="B436" s="54" t="str">
        <f>IF(1xDgl!B35="","-",1xDgl!B35)</f>
        <v>Zwischensumme IV</v>
      </c>
      <c r="C436" s="44"/>
      <c r="D436" s="55">
        <f>IF('[2]E-ILeist'!$I35="","",'[2]E-ILeist'!$I35)</f>
        <v>31.499999999999996</v>
      </c>
      <c r="E436" s="51"/>
      <c r="F436" s="56" t="str">
        <f>IF(1xDgl!I34="","-",SUM(1xDgl!I34))</f>
        <v>-</v>
      </c>
      <c r="H436" s="57">
        <f>IF(1xDgl!$I35="","",1xDgl!$I35)</f>
        <v>0</v>
      </c>
      <c r="I436" s="53" t="str">
        <f t="shared" si="48"/>
        <v>Falsch</v>
      </c>
      <c r="J436" s="30" t="str">
        <f t="shared" si="45"/>
        <v>-</v>
      </c>
      <c r="K436" s="23">
        <f t="shared" si="46"/>
      </c>
      <c r="L436" s="24">
        <f t="shared" si="47"/>
      </c>
      <c r="M436" s="1"/>
      <c r="N436" s="841"/>
    </row>
    <row r="437" spans="1:14" s="46" customFormat="1" ht="12.75" hidden="1">
      <c r="A437" s="43"/>
      <c r="B437" s="54" t="str">
        <f>IF(1xDgl!B36="","-",1xDgl!B36&amp;" "&amp;1xDgl!C36&amp;1xDgl!D36)</f>
        <v>Variable Kosten insgesamt bei 1 Schnitt (exkl. MWSt)</v>
      </c>
      <c r="C437" s="44"/>
      <c r="D437" s="55">
        <f>IF('[2]E-ILeist'!$I36="","",'[2]E-ILeist'!$I36)</f>
        <v>285.2563333333334</v>
      </c>
      <c r="E437" s="51"/>
      <c r="F437" s="56">
        <f>IF(AND(1xDgl!I16="",OR(1xDgl!I27="",1xDgl!C36=""),1xDgl!I32="",1xDgl!I35=""),"-",SUM(1xDgl!I16,1xDgl!I27*1xDgl!C36,1xDgl!I32,1xDgl!I35))</f>
        <v>0</v>
      </c>
      <c r="H437" s="57">
        <f>IF(1xDgl!$I36="","",1xDgl!$I36)</f>
        <v>0</v>
      </c>
      <c r="I437" s="53" t="str">
        <f t="shared" si="48"/>
        <v>Formel: OK</v>
      </c>
      <c r="J437" s="30" t="str">
        <f t="shared" si="45"/>
        <v>-</v>
      </c>
      <c r="K437" s="23">
        <f t="shared" si="46"/>
      </c>
      <c r="L437" s="24">
        <f t="shared" si="47"/>
      </c>
      <c r="M437" s="1"/>
      <c r="N437" s="841"/>
    </row>
    <row r="438" spans="1:14" s="46" customFormat="1" ht="12.75">
      <c r="A438" s="58"/>
      <c r="B438" s="54" t="str">
        <f>IF(1xDgl!B37="","-",1xDgl!B37&amp;" "&amp;FIXED(1xDgl!C37*100,0)&amp;" %"&amp;1xDgl!D37)</f>
        <v>Variable Kosten insgesamt (inkl. 20 % MWSt)</v>
      </c>
      <c r="C438" s="44"/>
      <c r="D438" s="55">
        <f>IF('[2]E-ILeist'!$I37="","",'[2]E-ILeist'!$I37)</f>
        <v>342.30760000000004</v>
      </c>
      <c r="E438" s="51"/>
      <c r="F438" s="56">
        <f>IF(OR(1xDgl!I36="",1xDgl!C37=""),"-",1xDgl!I36+1xDgl!I36*1xDgl!C37)</f>
        <v>0</v>
      </c>
      <c r="H438" s="57">
        <f>IF(1xDgl!$I37="","",1xDgl!$I37)</f>
      </c>
      <c r="I438" s="53" t="str">
        <f t="shared" si="48"/>
        <v>Fehlt</v>
      </c>
      <c r="J438" s="30">
        <f t="shared" si="45"/>
        <v>0</v>
      </c>
      <c r="K438" s="23" t="str">
        <f t="shared" si="46"/>
        <v>│</v>
      </c>
      <c r="L438" s="24">
        <f t="shared" si="47"/>
        <v>1</v>
      </c>
      <c r="M438" s="1"/>
      <c r="N438" s="841" t="str">
        <f>IF($L$1="","",$L$1)</f>
        <v>x</v>
      </c>
    </row>
    <row r="439" spans="1:14" ht="12.75">
      <c r="A439" s="18"/>
      <c r="B439" s="18"/>
      <c r="C439" s="18"/>
      <c r="D439" s="19"/>
      <c r="H439" s="17"/>
      <c r="I439" s="21">
        <f t="shared" si="48"/>
      </c>
      <c r="J439" s="21"/>
      <c r="K439" s="23">
        <f t="shared" si="46"/>
      </c>
      <c r="L439" s="24">
        <f t="shared" si="47"/>
      </c>
      <c r="N439" s="842" t="str">
        <f>IF($L$1="","",$L$1)</f>
        <v>x</v>
      </c>
    </row>
    <row r="440" spans="1:14" ht="12.75" hidden="1">
      <c r="A440" s="17" t="s">
        <v>19</v>
      </c>
      <c r="B440" s="17" t="s">
        <v>57</v>
      </c>
      <c r="C440" s="18"/>
      <c r="D440" s="19"/>
      <c r="H440" s="17"/>
      <c r="I440" s="21">
        <f t="shared" si="48"/>
      </c>
      <c r="J440" s="21"/>
      <c r="K440" s="23">
        <f t="shared" si="46"/>
      </c>
      <c r="L440" s="24">
        <f t="shared" si="47"/>
      </c>
      <c r="N440" s="839"/>
    </row>
    <row r="441" spans="1:14" s="46" customFormat="1" ht="12.75" hidden="1">
      <c r="A441" s="43"/>
      <c r="B441" s="54" t="s">
        <v>58</v>
      </c>
      <c r="C441" s="44"/>
      <c r="D441" s="55">
        <f>IF('[2]E-ILeist'!$H41="","",'[2]E-ILeist'!$H41)</f>
        <v>3.96</v>
      </c>
      <c r="E441" s="51"/>
      <c r="F441" s="51" t="s">
        <v>223</v>
      </c>
      <c r="H441" s="57">
        <f>IF(1xDgl!$H41="","",1xDgl!$H41)</f>
        <v>3.96</v>
      </c>
      <c r="I441" s="53" t="str">
        <f t="shared" si="48"/>
        <v>Richtig!</v>
      </c>
      <c r="J441" s="30" t="str">
        <f t="shared" si="45"/>
        <v>-</v>
      </c>
      <c r="K441" s="23">
        <f t="shared" si="46"/>
      </c>
      <c r="L441" s="24">
        <f t="shared" si="47"/>
      </c>
      <c r="M441" s="1"/>
      <c r="N441" s="841"/>
    </row>
    <row r="442" spans="1:14" s="46" customFormat="1" ht="12.75" hidden="1">
      <c r="A442" s="58"/>
      <c r="B442" s="54" t="s">
        <v>59</v>
      </c>
      <c r="C442" s="44"/>
      <c r="D442" s="55">
        <f>IF('[2]E-ILeist'!$I41="","",'[2]E-ILeist'!$I41)</f>
        <v>13860</v>
      </c>
      <c r="E442" s="51"/>
      <c r="F442" s="51" t="s">
        <v>223</v>
      </c>
      <c r="H442" s="57">
        <f>IF(1xDgl!$I41="","",1xDgl!$I41)</f>
        <v>13860</v>
      </c>
      <c r="I442" s="53" t="str">
        <f t="shared" si="48"/>
        <v>Richtig!</v>
      </c>
      <c r="J442" s="30" t="str">
        <f t="shared" si="45"/>
        <v>-</v>
      </c>
      <c r="K442" s="23">
        <f t="shared" si="46"/>
      </c>
      <c r="L442" s="24">
        <f t="shared" si="47"/>
      </c>
      <c r="M442" s="1"/>
      <c r="N442" s="841"/>
    </row>
    <row r="443" spans="1:14" ht="12.75" hidden="1">
      <c r="A443" s="18"/>
      <c r="B443" s="18"/>
      <c r="C443" s="18"/>
      <c r="D443" s="19"/>
      <c r="H443" s="17"/>
      <c r="I443" s="21">
        <f t="shared" si="48"/>
      </c>
      <c r="J443" s="21"/>
      <c r="K443" s="23">
        <f t="shared" si="46"/>
      </c>
      <c r="L443" s="24">
        <f t="shared" si="47"/>
      </c>
      <c r="N443" s="842"/>
    </row>
    <row r="444" spans="1:14" ht="12.75">
      <c r="A444" s="17" t="s">
        <v>23</v>
      </c>
      <c r="B444" s="17" t="s">
        <v>60</v>
      </c>
      <c r="C444" s="18"/>
      <c r="D444" s="19"/>
      <c r="H444" s="17"/>
      <c r="I444" s="21">
        <f t="shared" si="48"/>
      </c>
      <c r="J444" s="21"/>
      <c r="K444" s="23">
        <f t="shared" si="46"/>
      </c>
      <c r="L444" s="24">
        <f t="shared" si="47"/>
      </c>
      <c r="N444" s="839" t="str">
        <f>IF($L$1="","",$L$1)</f>
        <v>x</v>
      </c>
    </row>
    <row r="445" spans="2:14" s="46" customFormat="1" ht="12.75" hidden="1">
      <c r="B445" s="49" t="str">
        <f>IF(1xDgl!B44="","-",1xDgl!B44)</f>
        <v>VK Maschinen</v>
      </c>
      <c r="C445" s="44"/>
      <c r="D445" s="55">
        <f>IF('[2]E-ILeist'!$E44="","",'[2]E-ILeist'!$E44)</f>
        <v>342.30760000000004</v>
      </c>
      <c r="E445" s="51"/>
      <c r="F445" s="56" t="str">
        <f>IF(1xDgl!I37="","-",1xDgl!I37)</f>
        <v>-</v>
      </c>
      <c r="H445" s="57">
        <f>IF(1xDgl!$E44="","",1xDgl!$E44)</f>
        <v>0</v>
      </c>
      <c r="I445" s="53" t="str">
        <f t="shared" si="48"/>
        <v>Falsch</v>
      </c>
      <c r="J445" s="30" t="str">
        <f t="shared" si="45"/>
        <v>-</v>
      </c>
      <c r="K445" s="23">
        <f t="shared" si="46"/>
      </c>
      <c r="L445" s="24">
        <f t="shared" si="47"/>
      </c>
      <c r="M445" s="1"/>
      <c r="N445" s="841"/>
    </row>
    <row r="446" spans="2:14" s="46" customFormat="1" ht="12.75" hidden="1">
      <c r="B446" s="49" t="str">
        <f>IF(1xDgl!B47="","-",1xDgl!B47)</f>
        <v>-</v>
      </c>
      <c r="C446" s="44"/>
      <c r="D446" s="50">
        <f>IF('[2]E-ILeist'!$E47="","",'[2]E-ILeist'!$E47)</f>
      </c>
      <c r="E446" s="51"/>
      <c r="F446" s="51"/>
      <c r="H446" s="52">
        <f>IF(1xDgl!$E47="","",1xDgl!$E47)</f>
      </c>
      <c r="I446" s="53">
        <f t="shared" si="48"/>
      </c>
      <c r="J446" s="30" t="str">
        <f t="shared" si="45"/>
        <v>-</v>
      </c>
      <c r="K446" s="23">
        <f t="shared" si="46"/>
      </c>
      <c r="L446" s="24">
        <f t="shared" si="47"/>
      </c>
      <c r="M446" s="1"/>
      <c r="N446" s="841"/>
    </row>
    <row r="447" spans="2:14" s="46" customFormat="1" ht="12.75" hidden="1">
      <c r="B447" s="49" t="str">
        <f>IF(1xDgl!B48="","-",1xDgl!B48)</f>
        <v>-</v>
      </c>
      <c r="C447" s="44"/>
      <c r="D447" s="50">
        <f>IF('[2]E-ILeist'!$E48="","",'[2]E-ILeist'!$E48)</f>
      </c>
      <c r="E447" s="51"/>
      <c r="F447" s="51"/>
      <c r="H447" s="52">
        <f>IF(1xDgl!$E48="","",1xDgl!$E48)</f>
      </c>
      <c r="I447" s="53">
        <f t="shared" si="48"/>
      </c>
      <c r="J447" s="30" t="str">
        <f t="shared" si="45"/>
        <v>-</v>
      </c>
      <c r="K447" s="23">
        <f t="shared" si="46"/>
      </c>
      <c r="L447" s="24">
        <f t="shared" si="47"/>
      </c>
      <c r="M447" s="1"/>
      <c r="N447" s="841"/>
    </row>
    <row r="448" spans="2:14" s="46" customFormat="1" ht="12.75" hidden="1">
      <c r="B448" s="54" t="str">
        <f>IF(1xDgl!B49="","-",1xDgl!B49)</f>
        <v>Summe Aussaat/Übersaat</v>
      </c>
      <c r="C448" s="44"/>
      <c r="D448" s="55">
        <f>IF('[2]E-ILeist'!$E49="","",'[2]E-ILeist'!$E49)</f>
      </c>
      <c r="E448" s="51"/>
      <c r="F448" s="56" t="str">
        <f>IF(AND(1xDgl!E47="",1xDgl!E48=""),"-",SUM(1xDgl!E47:E48))</f>
        <v>-</v>
      </c>
      <c r="H448" s="57">
        <f>IF(1xDgl!$E49="","",1xDgl!$E49)</f>
      </c>
      <c r="I448" s="53">
        <f t="shared" si="48"/>
      </c>
      <c r="J448" s="30" t="str">
        <f t="shared" si="45"/>
        <v>-</v>
      </c>
      <c r="K448" s="23">
        <f t="shared" si="46"/>
      </c>
      <c r="L448" s="24">
        <f t="shared" si="47"/>
      </c>
      <c r="M448" s="1"/>
      <c r="N448" s="841"/>
    </row>
    <row r="449" spans="2:14" s="46" customFormat="1" ht="12.75" hidden="1">
      <c r="B449" s="49" t="str">
        <f>IF(1xDgl!B52="","-",1xDgl!B52)</f>
        <v>-</v>
      </c>
      <c r="C449" s="44"/>
      <c r="D449" s="50">
        <f>IF('[2]E-ILeist'!$E52="","",'[2]E-ILeist'!$E52)</f>
      </c>
      <c r="E449" s="51"/>
      <c r="F449" s="51"/>
      <c r="H449" s="52">
        <f>IF(1xDgl!$E52="","",1xDgl!$E52)</f>
      </c>
      <c r="I449" s="53">
        <f t="shared" si="48"/>
      </c>
      <c r="J449" s="30" t="str">
        <f t="shared" si="45"/>
        <v>-</v>
      </c>
      <c r="K449" s="23">
        <f t="shared" si="46"/>
      </c>
      <c r="L449" s="24">
        <f t="shared" si="47"/>
      </c>
      <c r="M449" s="1"/>
      <c r="N449" s="841"/>
    </row>
    <row r="450" spans="2:14" s="46" customFormat="1" ht="12.75" hidden="1">
      <c r="B450" s="49" t="str">
        <f>IF(1xDgl!B53="","-",1xDgl!B53)</f>
        <v>-</v>
      </c>
      <c r="C450" s="44"/>
      <c r="D450" s="50">
        <f>IF('[2]E-ILeist'!$E53="","",'[2]E-ILeist'!$E53)</f>
      </c>
      <c r="E450" s="51"/>
      <c r="F450" s="51"/>
      <c r="H450" s="52">
        <f>IF(1xDgl!$E53="","",1xDgl!$E53)</f>
      </c>
      <c r="I450" s="53">
        <f t="shared" si="48"/>
      </c>
      <c r="J450" s="30" t="str">
        <f t="shared" si="45"/>
        <v>-</v>
      </c>
      <c r="K450" s="23">
        <f t="shared" si="46"/>
      </c>
      <c r="L450" s="24">
        <f t="shared" si="47"/>
      </c>
      <c r="M450" s="1"/>
      <c r="N450" s="841"/>
    </row>
    <row r="451" spans="2:14" s="46" customFormat="1" ht="12.75" hidden="1">
      <c r="B451" s="49" t="str">
        <f>IF(1xDgl!B54="","-",1xDgl!B54)</f>
        <v>-</v>
      </c>
      <c r="C451" s="44"/>
      <c r="D451" s="50">
        <f>IF('[2]E-ILeist'!$E54="","",'[2]E-ILeist'!$E54)</f>
      </c>
      <c r="E451" s="51"/>
      <c r="F451" s="51"/>
      <c r="H451" s="52">
        <f>IF(1xDgl!$E54="","",1xDgl!$E54)</f>
      </c>
      <c r="I451" s="53">
        <f t="shared" si="48"/>
      </c>
      <c r="J451" s="30" t="str">
        <f t="shared" si="45"/>
        <v>-</v>
      </c>
      <c r="K451" s="23">
        <f t="shared" si="46"/>
      </c>
      <c r="L451" s="24">
        <f t="shared" si="47"/>
      </c>
      <c r="M451" s="1"/>
      <c r="N451" s="841"/>
    </row>
    <row r="452" spans="2:14" s="46" customFormat="1" ht="12.75" hidden="1">
      <c r="B452" s="54" t="str">
        <f>IF(1xDgl!B55="","-",1xDgl!B55)</f>
        <v>Summe Mineraldünger</v>
      </c>
      <c r="C452" s="44"/>
      <c r="D452" s="55">
        <f>IF('[2]E-ILeist'!$E55="","",'[2]E-ILeist'!$E55)</f>
      </c>
      <c r="E452" s="51"/>
      <c r="F452" s="56" t="str">
        <f>IF(AND(1xDgl!E52="",1xDgl!E53="",1xDgl!E54=""),"-",SUM(1xDgl!E52:E54))</f>
        <v>-</v>
      </c>
      <c r="H452" s="57">
        <f>IF(1xDgl!$E55="","",1xDgl!$E55)</f>
      </c>
      <c r="I452" s="53">
        <f t="shared" si="48"/>
      </c>
      <c r="J452" s="30" t="str">
        <f t="shared" si="45"/>
        <v>-</v>
      </c>
      <c r="K452" s="23">
        <f t="shared" si="46"/>
      </c>
      <c r="L452" s="24">
        <f t="shared" si="47"/>
      </c>
      <c r="M452" s="1"/>
      <c r="N452" s="841"/>
    </row>
    <row r="453" spans="2:14" s="46" customFormat="1" ht="12.75" hidden="1">
      <c r="B453" s="54" t="str">
        <f>IF(1xDgl!B61="","-",1xDgl!B61)</f>
        <v>Summe sonstige variable Kosten</v>
      </c>
      <c r="C453" s="44"/>
      <c r="D453" s="50">
        <f>IF('[2]E-ILeist'!$E61="","",'[2]E-ILeist'!$E61)</f>
      </c>
      <c r="E453" s="51"/>
      <c r="F453" s="51"/>
      <c r="H453" s="52">
        <f>IF(1xDgl!$E61="","",1xDgl!$E61)</f>
      </c>
      <c r="I453" s="53">
        <f t="shared" si="48"/>
      </c>
      <c r="J453" s="30" t="str">
        <f t="shared" si="45"/>
        <v>-</v>
      </c>
      <c r="K453" s="23">
        <f t="shared" si="46"/>
      </c>
      <c r="L453" s="24">
        <f t="shared" si="47"/>
      </c>
      <c r="M453" s="1"/>
      <c r="N453" s="841"/>
    </row>
    <row r="454" spans="2:14" s="46" customFormat="1" ht="12.75" hidden="1">
      <c r="B454" s="54" t="str">
        <f>IF(1xDgl!B64="","-",1xDgl!B64)</f>
        <v>Summe variable Kosten</v>
      </c>
      <c r="C454" s="44"/>
      <c r="D454" s="55">
        <f>IF('[2]E-ILeist'!$E64="","",'[2]E-ILeist'!$E64)</f>
        <v>342.30760000000004</v>
      </c>
      <c r="E454" s="51"/>
      <c r="F454" s="56">
        <f>IF(AND(1xDgl!E44="",1xDgl!E49="",1xDgl!E55="",1xDgl!E61=""),"-",SUM(1xDgl!E44,1xDgl!E49,1xDgl!E55,1xDgl!E61))</f>
        <v>0</v>
      </c>
      <c r="H454" s="57">
        <f>IF(1xDgl!$E64="","",1xDgl!$E64)</f>
        <v>0</v>
      </c>
      <c r="I454" s="53" t="str">
        <f t="shared" si="48"/>
        <v>Formel: OK</v>
      </c>
      <c r="J454" s="30" t="str">
        <f t="shared" si="45"/>
        <v>-</v>
      </c>
      <c r="K454" s="23">
        <f t="shared" si="46"/>
      </c>
      <c r="L454" s="24">
        <f t="shared" si="47"/>
      </c>
      <c r="M454" s="1"/>
      <c r="N454" s="841"/>
    </row>
    <row r="455" spans="2:14" s="46" customFormat="1" ht="12.75" hidden="1">
      <c r="B455" s="54" t="str">
        <f>IF(1xDgl!B65="","-",1xDgl!B65)</f>
        <v>AK-Stunden/ha</v>
      </c>
      <c r="C455" s="44"/>
      <c r="D455" s="55">
        <f>IF('[2]E-ILeist'!$E65="","",'[2]E-ILeist'!$E65)</f>
        <v>30.283333333333335</v>
      </c>
      <c r="E455" s="51"/>
      <c r="F455" s="56">
        <f>IF(1xDgl!C36="","-",SUM(1xDgl!C16,1xDgl!C27*1xDgl!C36))</f>
        <v>32.13333333333333</v>
      </c>
      <c r="H455" s="57">
        <f>IF(1xDgl!$E65="","",1xDgl!$E65)</f>
        <v>32.13333333333333</v>
      </c>
      <c r="I455" s="53" t="str">
        <f t="shared" si="48"/>
        <v>Formel: OK</v>
      </c>
      <c r="J455" s="30" t="str">
        <f t="shared" si="45"/>
        <v>-</v>
      </c>
      <c r="K455" s="23">
        <f t="shared" si="46"/>
      </c>
      <c r="L455" s="24">
        <f t="shared" si="47"/>
      </c>
      <c r="M455" s="1"/>
      <c r="N455" s="841"/>
    </row>
    <row r="456" spans="2:14" s="46" customFormat="1" ht="12.75">
      <c r="B456" s="54" t="str">
        <f>IF(1xDgl!B66="","-",1xDgl!B66)</f>
        <v>Kosten je MJ NEL/Nettoertrag</v>
      </c>
      <c r="C456" s="44"/>
      <c r="D456" s="59">
        <f>IF('[2]E-ILeist'!$E66="","",'[2]E-ILeist'!$E66)</f>
        <v>0.02469751803751804</v>
      </c>
      <c r="E456" s="51"/>
      <c r="F456" s="60">
        <f>IF(OR(1xDgl!E64="",1xDgl!I41=""),"-",1xDgl!E64/1xDgl!I41)</f>
        <v>0</v>
      </c>
      <c r="H456" s="61">
        <f>IF(1xDgl!$E66="","",1xDgl!$E66)</f>
      </c>
      <c r="I456" s="53" t="str">
        <f t="shared" si="48"/>
        <v>Fehlt</v>
      </c>
      <c r="J456" s="30">
        <f t="shared" si="45"/>
        <v>0</v>
      </c>
      <c r="K456" s="23" t="str">
        <f t="shared" si="46"/>
        <v>│</v>
      </c>
      <c r="L456" s="24">
        <f t="shared" si="47"/>
        <v>1</v>
      </c>
      <c r="M456" s="1"/>
      <c r="N456" s="841" t="str">
        <f>IF($L$1="","",$L$1)</f>
        <v>x</v>
      </c>
    </row>
    <row r="457" spans="2:14" s="46" customFormat="1" ht="12.75" hidden="1">
      <c r="B457" s="54" t="str">
        <f>IF(1xDgl!G64="","-",MID(1xDgl!G63,1,13)&amp;1xDgl!G64&amp;" "&amp;FIXED(1xDgl!G65*100,0)&amp;" % Trocksnmasse")</f>
        <v>Umgelegt auf 1kg Heu bei 86 % Trocksnmasse</v>
      </c>
      <c r="D457" s="59">
        <f>IF('[2]E-ILeist'!$G66="","",'[2]E-ILeist'!$G66)</f>
        <v>0.08410986742857143</v>
      </c>
      <c r="E457" s="51"/>
      <c r="F457" s="60">
        <f>IF(OR(1xDgl!E64="",1xDgl!C40="",1xDgl!G65=""),"-",1xDgl!E64/(1xDgl!C40/1xDgl!G65))</f>
        <v>0</v>
      </c>
      <c r="H457" s="61">
        <f>IF(1xDgl!$G66="","",1xDgl!$G66)</f>
        <v>0</v>
      </c>
      <c r="I457" s="53" t="str">
        <f t="shared" si="48"/>
        <v>Formel: OK</v>
      </c>
      <c r="J457" s="30" t="str">
        <f t="shared" si="45"/>
        <v>-</v>
      </c>
      <c r="K457" s="23">
        <f t="shared" si="46"/>
      </c>
      <c r="L457" s="24">
        <f t="shared" si="47"/>
      </c>
      <c r="M457" s="1"/>
      <c r="N457" s="841"/>
    </row>
    <row r="458" spans="1:14" ht="12.75" customHeight="1">
      <c r="A458" s="18"/>
      <c r="B458" s="18"/>
      <c r="C458" s="18"/>
      <c r="D458" s="19"/>
      <c r="H458" s="20"/>
      <c r="I458" s="21"/>
      <c r="J458" s="21"/>
      <c r="K458" s="23">
        <f t="shared" si="46"/>
      </c>
      <c r="L458" s="24">
        <f t="shared" si="47"/>
      </c>
      <c r="N458" s="842" t="str">
        <f aca="true" t="shared" si="49" ref="N458:N489">IF($L$1="","",$L$1)</f>
        <v>x</v>
      </c>
    </row>
    <row r="459" spans="1:14" ht="22.5">
      <c r="A459" s="10" t="s">
        <v>61</v>
      </c>
      <c r="B459" s="11"/>
      <c r="C459" s="12"/>
      <c r="D459" s="13" t="s">
        <v>4</v>
      </c>
      <c r="E459" s="13"/>
      <c r="F459" s="14" t="s">
        <v>5</v>
      </c>
      <c r="G459" s="12"/>
      <c r="H459" s="14" t="s">
        <v>6</v>
      </c>
      <c r="I459" s="15" t="str">
        <f>"Fehler"</f>
        <v>Fehler</v>
      </c>
      <c r="J459" s="16" t="s">
        <v>7</v>
      </c>
      <c r="K459" s="16"/>
      <c r="L459" s="16"/>
      <c r="N459" s="840" t="str">
        <f t="shared" si="49"/>
        <v>x</v>
      </c>
    </row>
    <row r="460" spans="1:14" ht="12.75" customHeight="1">
      <c r="A460" s="62" t="s">
        <v>9</v>
      </c>
      <c r="B460" s="62" t="s">
        <v>62</v>
      </c>
      <c r="C460" s="63"/>
      <c r="D460" s="64"/>
      <c r="E460" s="65"/>
      <c r="F460" s="65"/>
      <c r="G460" s="65"/>
      <c r="H460" s="66"/>
      <c r="I460" s="67"/>
      <c r="J460" s="67"/>
      <c r="K460" s="23">
        <f t="shared" si="46"/>
      </c>
      <c r="L460" s="24">
        <f t="shared" si="47"/>
      </c>
      <c r="N460" s="839" t="str">
        <f t="shared" si="49"/>
        <v>x</v>
      </c>
    </row>
    <row r="461" spans="1:14" ht="12.75" customHeight="1">
      <c r="A461" s="63"/>
      <c r="B461" s="63" t="s">
        <v>63</v>
      </c>
      <c r="C461" s="63"/>
      <c r="D461" s="68">
        <f>IF('[2]E-MKK1'!$E12="","",'[2]E-MKK1'!$E12)</f>
        <v>13</v>
      </c>
      <c r="E461" s="69"/>
      <c r="F461" s="69"/>
      <c r="G461" s="65"/>
      <c r="H461" s="70">
        <f>IF(MKK1!$D8="","",MKK1!$D8)</f>
      </c>
      <c r="I461" s="71" t="str">
        <f>IF(H461=D461,"Richtig!",IF(H461="","Fehlt","Falsch"))</f>
        <v>Fehlt</v>
      </c>
      <c r="J461" s="30">
        <f t="shared" si="45"/>
        <v>0</v>
      </c>
      <c r="K461" s="23" t="str">
        <f t="shared" si="46"/>
        <v>│</v>
      </c>
      <c r="L461" s="24">
        <f t="shared" si="47"/>
        <v>1</v>
      </c>
      <c r="N461" s="841" t="str">
        <f t="shared" si="49"/>
        <v>x</v>
      </c>
    </row>
    <row r="462" spans="1:14" ht="12.75" customHeight="1">
      <c r="A462" s="63"/>
      <c r="B462" s="63" t="str">
        <f>"Zeitwert am 1. 1."&amp;'[2]MKK1'!G21</f>
        <v>Zeitwert am 1. 1.2007</v>
      </c>
      <c r="C462" s="63"/>
      <c r="D462" s="68">
        <f>IF('[2]E-MKK1'!$E13="","",'[2]E-MKK1'!$E13)</f>
        <v>4959.375</v>
      </c>
      <c r="E462" s="69"/>
      <c r="F462" s="69"/>
      <c r="G462" s="65"/>
      <c r="H462" s="70">
        <f>IF(MKK1!$D9="","",MKK1!$D9)</f>
      </c>
      <c r="I462" s="71" t="str">
        <f>IF(H462=D462,"Richtig!",IF(H462="","Fehlt","Falsch"))</f>
        <v>Fehlt</v>
      </c>
      <c r="J462" s="30">
        <f t="shared" si="45"/>
        <v>0</v>
      </c>
      <c r="K462" s="23" t="str">
        <f t="shared" si="46"/>
        <v>│</v>
      </c>
      <c r="L462" s="24">
        <f t="shared" si="47"/>
        <v>1</v>
      </c>
      <c r="N462" s="841" t="str">
        <f t="shared" si="49"/>
        <v>x</v>
      </c>
    </row>
    <row r="463" spans="1:14" ht="12.75">
      <c r="A463" s="18"/>
      <c r="B463" s="18"/>
      <c r="C463" s="18"/>
      <c r="D463" s="19"/>
      <c r="H463" s="17"/>
      <c r="I463" s="21"/>
      <c r="J463" s="21"/>
      <c r="K463" s="23">
        <f t="shared" si="46"/>
      </c>
      <c r="L463" s="24">
        <f t="shared" si="47"/>
      </c>
      <c r="N463" s="842" t="str">
        <f t="shared" si="49"/>
        <v>x</v>
      </c>
    </row>
    <row r="464" spans="1:14" ht="12.75">
      <c r="A464" s="17" t="s">
        <v>12</v>
      </c>
      <c r="B464" s="17" t="s">
        <v>64</v>
      </c>
      <c r="C464" s="18"/>
      <c r="D464" s="19"/>
      <c r="H464" s="17"/>
      <c r="I464" s="21"/>
      <c r="J464" s="21"/>
      <c r="K464" s="23">
        <f t="shared" si="46"/>
      </c>
      <c r="L464" s="24">
        <f t="shared" si="47"/>
      </c>
      <c r="N464" s="839" t="str">
        <f t="shared" si="49"/>
        <v>x</v>
      </c>
    </row>
    <row r="465" spans="1:14" ht="12.75" customHeight="1">
      <c r="A465" s="63"/>
      <c r="B465" s="63" t="s">
        <v>65</v>
      </c>
      <c r="C465" s="63"/>
      <c r="D465" s="68">
        <f>IF('[2]E-MKK1'!$E16="","",'[2]E-MKK1'!$E16)</f>
        <v>1653.125</v>
      </c>
      <c r="E465" s="69"/>
      <c r="F465" s="69"/>
      <c r="G465" s="65"/>
      <c r="H465" s="70">
        <f>IF(MKK1!$D12="","",MKK1!$D12)</f>
      </c>
      <c r="I465" s="71" t="str">
        <f>IF(H465=D465,"Richtig!",IF(H465="","Fehlt","Falsch"))</f>
        <v>Fehlt</v>
      </c>
      <c r="J465" s="30">
        <f t="shared" si="45"/>
        <v>0</v>
      </c>
      <c r="K465" s="23" t="str">
        <f t="shared" si="46"/>
        <v>│</v>
      </c>
      <c r="L465" s="24">
        <f t="shared" si="47"/>
        <v>1</v>
      </c>
      <c r="N465" s="841" t="str">
        <f t="shared" si="49"/>
        <v>x</v>
      </c>
    </row>
    <row r="466" spans="1:14" ht="12.75" customHeight="1">
      <c r="A466" s="63"/>
      <c r="B466" s="63" t="s">
        <v>66</v>
      </c>
      <c r="C466" s="63"/>
      <c r="D466" s="68">
        <f>IF('[2]E-MKK1'!$E17="","",'[2]E-MKK1'!$E17)</f>
        <v>264.5</v>
      </c>
      <c r="E466" s="69"/>
      <c r="F466" s="69"/>
      <c r="G466" s="65"/>
      <c r="H466" s="70">
        <f>IF(MKK1!$D13="","",MKK1!$D13)</f>
      </c>
      <c r="I466" s="71" t="str">
        <f>IF(H466=D466,"Richtig!",IF(H466="","Fehlt","Falsch"))</f>
        <v>Fehlt</v>
      </c>
      <c r="J466" s="30">
        <f t="shared" si="45"/>
        <v>0</v>
      </c>
      <c r="K466" s="23" t="str">
        <f t="shared" si="46"/>
        <v>│</v>
      </c>
      <c r="L466" s="24">
        <f t="shared" si="47"/>
        <v>1</v>
      </c>
      <c r="N466" s="841" t="str">
        <f t="shared" si="49"/>
        <v>x</v>
      </c>
    </row>
    <row r="467" spans="1:14" ht="12.75" customHeight="1">
      <c r="A467" s="63"/>
      <c r="B467" s="63" t="s">
        <v>67</v>
      </c>
      <c r="C467" s="63"/>
      <c r="D467" s="68">
        <f>IF('[2]E-MKK1'!$E18="","",'[2]E-MKK1'!$E18)</f>
        <v>264.5</v>
      </c>
      <c r="E467" s="69"/>
      <c r="F467" s="69"/>
      <c r="G467" s="65"/>
      <c r="H467" s="70">
        <f>IF(MKK1!$D14="","",MKK1!$D14)</f>
      </c>
      <c r="I467" s="71" t="str">
        <f>IF(H467=D467,"Richtig!",IF(H467="","Fehlt","Falsch"))</f>
        <v>Fehlt</v>
      </c>
      <c r="J467" s="30">
        <f t="shared" si="45"/>
        <v>0</v>
      </c>
      <c r="K467" s="23" t="str">
        <f t="shared" si="46"/>
        <v>│</v>
      </c>
      <c r="L467" s="24">
        <f t="shared" si="47"/>
        <v>1</v>
      </c>
      <c r="N467" s="841" t="str">
        <f t="shared" si="49"/>
        <v>x</v>
      </c>
    </row>
    <row r="468" spans="1:14" ht="12.75" customHeight="1">
      <c r="A468" s="63"/>
      <c r="B468" s="63" t="s">
        <v>68</v>
      </c>
      <c r="C468" s="63"/>
      <c r="D468" s="68">
        <f>IF('[2]E-MKK1'!$E19="","",'[2]E-MKK1'!$E19)</f>
        <v>793.5</v>
      </c>
      <c r="E468" s="69"/>
      <c r="F468" s="69"/>
      <c r="G468" s="65"/>
      <c r="H468" s="70">
        <f>IF(MKK1!$D15="","",MKK1!$D15)</f>
      </c>
      <c r="I468" s="71" t="str">
        <f>IF(H468=D468,"Richtig!",IF(H468="","Fehlt","Falsch"))</f>
        <v>Fehlt</v>
      </c>
      <c r="J468" s="30">
        <f t="shared" si="45"/>
        <v>0</v>
      </c>
      <c r="K468" s="23" t="str">
        <f t="shared" si="46"/>
        <v>│</v>
      </c>
      <c r="L468" s="24">
        <f t="shared" si="47"/>
        <v>1</v>
      </c>
      <c r="N468" s="841" t="str">
        <f t="shared" si="49"/>
        <v>x</v>
      </c>
    </row>
    <row r="469" spans="1:14" ht="12.75" customHeight="1">
      <c r="A469" s="63"/>
      <c r="B469" s="62" t="s">
        <v>69</v>
      </c>
      <c r="C469" s="63"/>
      <c r="D469" s="72">
        <f>IF('[2]E-MKK1'!$G20="","",'[2]E-MKK1'!$G20)</f>
        <v>2975.625</v>
      </c>
      <c r="E469" s="69"/>
      <c r="F469" s="73" t="str">
        <f>IF(AND(MKK1!D12="",MKK1!D13="",MKK1!D14="",MKK1!D15=""),"-",SUM(MKK1!D12:D15))</f>
        <v>-</v>
      </c>
      <c r="G469" s="65"/>
      <c r="H469" s="74">
        <f>IF(MKK1!$F16="","",MKK1!$F16)</f>
      </c>
      <c r="I469" s="71" t="str">
        <f>IF(H469=D469,"Richtig!",IF(AND(F469&lt;&gt;"",H469&lt;&gt;D469,H469=F469),"Formel: OK",IF(H469="","Fehlt","Falsch")))</f>
        <v>Fehlt</v>
      </c>
      <c r="J469" s="30">
        <f t="shared" si="45"/>
        <v>0</v>
      </c>
      <c r="K469" s="23" t="str">
        <f t="shared" si="46"/>
        <v>│</v>
      </c>
      <c r="L469" s="24">
        <f t="shared" si="47"/>
        <v>1</v>
      </c>
      <c r="N469" s="841" t="str">
        <f t="shared" si="49"/>
        <v>x</v>
      </c>
    </row>
    <row r="470" spans="1:14" ht="12.75">
      <c r="A470" s="18"/>
      <c r="B470" s="18"/>
      <c r="C470" s="18"/>
      <c r="D470" s="19"/>
      <c r="H470" s="17"/>
      <c r="I470" s="21"/>
      <c r="J470" s="21"/>
      <c r="K470" s="23">
        <f t="shared" si="46"/>
      </c>
      <c r="L470" s="24">
        <f t="shared" si="47"/>
      </c>
      <c r="N470" s="842" t="str">
        <f t="shared" si="49"/>
        <v>x</v>
      </c>
    </row>
    <row r="471" spans="1:14" ht="12.75">
      <c r="A471" s="17" t="s">
        <v>14</v>
      </c>
      <c r="B471" s="17" t="s">
        <v>60</v>
      </c>
      <c r="C471" s="18"/>
      <c r="D471" s="19"/>
      <c r="H471" s="17"/>
      <c r="I471" s="21"/>
      <c r="J471" s="21"/>
      <c r="K471" s="23">
        <f t="shared" si="46"/>
      </c>
      <c r="L471" s="24">
        <f t="shared" si="47"/>
      </c>
      <c r="N471" s="839" t="str">
        <f t="shared" si="49"/>
        <v>x</v>
      </c>
    </row>
    <row r="472" spans="1:14" ht="12.75" customHeight="1">
      <c r="A472" s="63"/>
      <c r="B472" s="63" t="s">
        <v>70</v>
      </c>
      <c r="C472" s="63"/>
      <c r="D472" s="26">
        <f>IF('[2]E-MKK1'!$G23="","",'[2]E-MKK1'!$G23)</f>
        <v>673.6</v>
      </c>
      <c r="E472" s="27"/>
      <c r="F472" s="27"/>
      <c r="H472" s="28">
        <f>IF(MKK1!$F19="","",MKK1!$F19)</f>
      </c>
      <c r="I472" s="29" t="str">
        <f>IF(AND(D472="",H472=""),"",IF(H472=D472,"Richtig!",IF(H472="","Fehlt","Falsch")))</f>
        <v>Fehlt</v>
      </c>
      <c r="J472" s="30">
        <f t="shared" si="45"/>
        <v>0</v>
      </c>
      <c r="K472" s="23" t="str">
        <f t="shared" si="46"/>
        <v>│</v>
      </c>
      <c r="L472" s="24">
        <f t="shared" si="47"/>
        <v>1</v>
      </c>
      <c r="N472" s="841" t="str">
        <f t="shared" si="49"/>
        <v>x</v>
      </c>
    </row>
    <row r="473" spans="1:14" ht="12.75" customHeight="1">
      <c r="A473" s="63"/>
      <c r="B473" s="63" t="s">
        <v>71</v>
      </c>
      <c r="C473" s="63"/>
      <c r="D473" s="68">
        <f>IF('[2]E-MKK1'!$E24="","",'[2]E-MKK1'!$E24)</f>
        <v>211.6</v>
      </c>
      <c r="E473" s="69"/>
      <c r="F473" s="69"/>
      <c r="G473" s="65"/>
      <c r="H473" s="70">
        <f>IF(MKK1!$D20="","",MKK1!$D20)</f>
      </c>
      <c r="I473" s="71" t="str">
        <f>IF(H473=D473,"Richtig!",IF(H473="","Fehlt","Falsch"))</f>
        <v>Fehlt</v>
      </c>
      <c r="J473" s="30">
        <f t="shared" si="45"/>
        <v>0</v>
      </c>
      <c r="K473" s="23" t="str">
        <f t="shared" si="46"/>
        <v>│</v>
      </c>
      <c r="L473" s="24">
        <f t="shared" si="47"/>
        <v>1</v>
      </c>
      <c r="N473" s="841" t="str">
        <f t="shared" si="49"/>
        <v>x</v>
      </c>
    </row>
    <row r="474" spans="1:14" ht="12.75" customHeight="1">
      <c r="A474" s="63"/>
      <c r="B474" s="63" t="s">
        <v>72</v>
      </c>
      <c r="C474" s="63"/>
      <c r="D474" s="72">
        <f>IF('[2]E-MKK1'!$G24="","",'[2]E-MKK1'!$G24)</f>
        <v>338.56</v>
      </c>
      <c r="E474" s="69"/>
      <c r="F474" s="73" t="str">
        <f>IF(OR(MKK1!D20="",'[2]MKK1'!G19=""),"-",MKK1!D20/100*'[2]MKK1'!G19)</f>
        <v>-</v>
      </c>
      <c r="G474" s="65"/>
      <c r="H474" s="74">
        <f>IF(MKK1!$F20="","",MKK1!$F20)</f>
      </c>
      <c r="I474" s="71" t="str">
        <f>IF(H474=D474,"Richtig!",IF(AND(F474&lt;&gt;"",H474&lt;&gt;D474,H474=F474),"Formel: OK",IF(H474="","Fehlt","Falsch")))</f>
        <v>Fehlt</v>
      </c>
      <c r="J474" s="30">
        <f t="shared" si="45"/>
        <v>0</v>
      </c>
      <c r="K474" s="23" t="str">
        <f t="shared" si="46"/>
        <v>│</v>
      </c>
      <c r="L474" s="24">
        <f t="shared" si="47"/>
        <v>1</v>
      </c>
      <c r="N474" s="841" t="str">
        <f t="shared" si="49"/>
        <v>x</v>
      </c>
    </row>
    <row r="475" spans="1:14" ht="12.75" customHeight="1">
      <c r="A475" s="63"/>
      <c r="B475" s="62" t="s">
        <v>73</v>
      </c>
      <c r="C475" s="63"/>
      <c r="D475" s="72">
        <f>IF('[2]E-MKK1'!$G25="","",'[2]E-MKK1'!$G25)</f>
        <v>1012.1600000000001</v>
      </c>
      <c r="E475" s="69"/>
      <c r="F475" s="73" t="str">
        <f>IF(AND(MKK1!F19="",MKK1!F20=""),"-",SUM(MKK1!F19:F20))</f>
        <v>-</v>
      </c>
      <c r="G475" s="65"/>
      <c r="H475" s="74">
        <f>IF(MKK1!$F21="","",MKK1!$F21)</f>
      </c>
      <c r="I475" s="71" t="str">
        <f>IF(H475=D475,"Richtig!",IF(AND(F475&lt;&gt;"",H475&lt;&gt;D475,H475=F475),"Formel: OK",IF(H475="","Fehlt","Falsch")))</f>
        <v>Fehlt</v>
      </c>
      <c r="J475" s="30">
        <f t="shared" si="45"/>
        <v>0</v>
      </c>
      <c r="K475" s="23" t="str">
        <f t="shared" si="46"/>
        <v>│</v>
      </c>
      <c r="L475" s="24">
        <f t="shared" si="47"/>
        <v>1</v>
      </c>
      <c r="N475" s="841" t="str">
        <f t="shared" si="49"/>
        <v>x</v>
      </c>
    </row>
    <row r="476" spans="1:14" ht="12.75">
      <c r="A476" s="18"/>
      <c r="B476" s="18"/>
      <c r="C476" s="18"/>
      <c r="D476" s="19"/>
      <c r="H476" s="17"/>
      <c r="I476" s="21"/>
      <c r="J476" s="21"/>
      <c r="K476" s="23">
        <f t="shared" si="46"/>
      </c>
      <c r="L476" s="24">
        <f t="shared" si="47"/>
      </c>
      <c r="N476" s="842" t="str">
        <f t="shared" si="49"/>
        <v>x</v>
      </c>
    </row>
    <row r="477" spans="1:14" ht="12.75">
      <c r="A477" s="17" t="s">
        <v>17</v>
      </c>
      <c r="B477" s="17" t="s">
        <v>74</v>
      </c>
      <c r="C477" s="18"/>
      <c r="D477" s="19"/>
      <c r="H477" s="17"/>
      <c r="I477" s="21"/>
      <c r="J477" s="21"/>
      <c r="K477" s="23">
        <f t="shared" si="46"/>
      </c>
      <c r="L477" s="24">
        <f t="shared" si="47"/>
      </c>
      <c r="N477" s="839" t="str">
        <f t="shared" si="49"/>
        <v>x</v>
      </c>
    </row>
    <row r="478" spans="1:14" ht="12.75" customHeight="1">
      <c r="A478" s="63"/>
      <c r="B478" s="63" t="s">
        <v>75</v>
      </c>
      <c r="C478" s="63"/>
      <c r="D478" s="72">
        <f>IF('[2]E-MKK1'!$G28="","",'[2]E-MKK1'!$G28)</f>
        <v>18.59765625</v>
      </c>
      <c r="E478" s="69"/>
      <c r="F478" s="73" t="str">
        <f>IF(OR(MKK1!F16="",'[2]MKK1'!G19=""),"-",MKK1!F16/'[2]MKK1'!G19)</f>
        <v>-</v>
      </c>
      <c r="G478" s="65"/>
      <c r="H478" s="74">
        <f>IF(MKK1!$F24="","",MKK1!$F24)</f>
      </c>
      <c r="I478" s="71" t="str">
        <f>IF(H478=D478,"Richtig!",IF(AND(F478&lt;&gt;"",H478&lt;&gt;D478,H478=F478),"Formel: OK",IF(H478="","Fehlt","Falsch")))</f>
        <v>Fehlt</v>
      </c>
      <c r="J478" s="30">
        <f t="shared" si="45"/>
        <v>0</v>
      </c>
      <c r="K478" s="23" t="str">
        <f t="shared" si="46"/>
        <v>│</v>
      </c>
      <c r="L478" s="24">
        <f t="shared" si="47"/>
        <v>1</v>
      </c>
      <c r="N478" s="841" t="str">
        <f t="shared" si="49"/>
        <v>x</v>
      </c>
    </row>
    <row r="479" spans="1:14" ht="12.75" customHeight="1">
      <c r="A479" s="63"/>
      <c r="B479" s="63" t="s">
        <v>76</v>
      </c>
      <c r="C479" s="63"/>
      <c r="D479" s="72">
        <f>IF('[2]E-MKK1'!$G29="","",'[2]E-MKK1'!$G29)</f>
        <v>6.3260000000000005</v>
      </c>
      <c r="E479" s="69"/>
      <c r="F479" s="73" t="str">
        <f>IF(OR(MKK1!F21="",'[2]MKK1'!G19=""),"-",MKK1!F21/'[2]MKK1'!G19)</f>
        <v>-</v>
      </c>
      <c r="G479" s="65"/>
      <c r="H479" s="74">
        <f>IF(MKK1!$F25="","",MKK1!$F25)</f>
      </c>
      <c r="I479" s="71" t="str">
        <f>IF(H479=D479,"Richtig!",IF(AND(F479&lt;&gt;"",H479&lt;&gt;D479,H479=F479),"Formel: OK",IF(H479="","Fehlt","Falsch")))</f>
        <v>Fehlt</v>
      </c>
      <c r="J479" s="30">
        <f t="shared" si="45"/>
        <v>0</v>
      </c>
      <c r="K479" s="23" t="str">
        <f t="shared" si="46"/>
        <v>│</v>
      </c>
      <c r="L479" s="24">
        <f t="shared" si="47"/>
        <v>1</v>
      </c>
      <c r="N479" s="841" t="str">
        <f t="shared" si="49"/>
        <v>x</v>
      </c>
    </row>
    <row r="480" spans="1:14" ht="12.75" customHeight="1">
      <c r="A480" s="63"/>
      <c r="B480" s="62" t="s">
        <v>77</v>
      </c>
      <c r="C480" s="63"/>
      <c r="D480" s="72">
        <f>IF('[2]E-MKK1'!$G30="","",'[2]E-MKK1'!$G30)</f>
        <v>24.92365625</v>
      </c>
      <c r="E480" s="69"/>
      <c r="F480" s="73" t="str">
        <f>IF(AND(MKK1!F24="",MKK1!F25=""),"-",SUM(MKK1!F24:F25))</f>
        <v>-</v>
      </c>
      <c r="G480" s="65"/>
      <c r="H480" s="74">
        <f>IF(MKK1!$F26="","",MKK1!$F26)</f>
      </c>
      <c r="I480" s="71" t="str">
        <f>IF(H480=D480,"Richtig!",IF(AND(F480&lt;&gt;"",H480&lt;&gt;D480,H480=F480),"Formel: OK",IF(H480="","Fehlt","Falsch")))</f>
        <v>Fehlt</v>
      </c>
      <c r="J480" s="30">
        <f t="shared" si="45"/>
        <v>0</v>
      </c>
      <c r="K480" s="23" t="str">
        <f t="shared" si="46"/>
        <v>│</v>
      </c>
      <c r="L480" s="24">
        <f t="shared" si="47"/>
        <v>1</v>
      </c>
      <c r="N480" s="841" t="str">
        <f t="shared" si="49"/>
        <v>x</v>
      </c>
    </row>
    <row r="481" spans="1:14" ht="12.75" customHeight="1">
      <c r="A481" s="65"/>
      <c r="B481" s="65"/>
      <c r="C481" s="65"/>
      <c r="D481" s="64"/>
      <c r="E481" s="65"/>
      <c r="F481" s="65"/>
      <c r="G481" s="65"/>
      <c r="H481" s="75"/>
      <c r="I481" s="67"/>
      <c r="J481" s="67"/>
      <c r="K481" s="23">
        <f t="shared" si="46"/>
      </c>
      <c r="L481" s="24">
        <f t="shared" si="47"/>
      </c>
      <c r="N481" s="842" t="str">
        <f t="shared" si="49"/>
        <v>x</v>
      </c>
    </row>
    <row r="482" spans="1:14" ht="22.5">
      <c r="A482" s="10" t="s">
        <v>78</v>
      </c>
      <c r="B482" s="11"/>
      <c r="C482" s="12"/>
      <c r="D482" s="13" t="s">
        <v>4</v>
      </c>
      <c r="E482" s="13"/>
      <c r="F482" s="14" t="s">
        <v>5</v>
      </c>
      <c r="G482" s="12"/>
      <c r="H482" s="14" t="s">
        <v>6</v>
      </c>
      <c r="I482" s="15" t="str">
        <f>"Fehler"</f>
        <v>Fehler</v>
      </c>
      <c r="J482" s="16" t="s">
        <v>7</v>
      </c>
      <c r="K482" s="16"/>
      <c r="L482" s="16"/>
      <c r="N482" s="840" t="str">
        <f t="shared" si="49"/>
        <v>x</v>
      </c>
    </row>
    <row r="483" spans="1:14" ht="12.75" customHeight="1">
      <c r="A483" s="62" t="s">
        <v>9</v>
      </c>
      <c r="B483" s="62" t="s">
        <v>62</v>
      </c>
      <c r="C483" s="63"/>
      <c r="D483" s="64"/>
      <c r="E483" s="65"/>
      <c r="F483" s="65"/>
      <c r="G483" s="65"/>
      <c r="H483" s="66"/>
      <c r="I483" s="67"/>
      <c r="J483" s="67"/>
      <c r="K483" s="23">
        <f t="shared" si="46"/>
      </c>
      <c r="L483" s="24">
        <f t="shared" si="47"/>
      </c>
      <c r="N483" s="839" t="str">
        <f t="shared" si="49"/>
        <v>x</v>
      </c>
    </row>
    <row r="484" spans="1:14" ht="12.75" customHeight="1">
      <c r="A484" s="63"/>
      <c r="B484" s="63" t="s">
        <v>63</v>
      </c>
      <c r="C484" s="63"/>
      <c r="D484" s="68">
        <f>IF('[2]E-MKK2'!$E12="","",'[2]E-MKK2'!$E12)</f>
        <v>15</v>
      </c>
      <c r="E484" s="69"/>
      <c r="F484" s="69"/>
      <c r="G484" s="65"/>
      <c r="H484" s="70">
        <f>IF(MKK2!D8="","",MKK2!D8)</f>
      </c>
      <c r="I484" s="71" t="str">
        <f>IF(H484=D484,"Richtig!",IF(H484="","Fehlt","Falsch"))</f>
        <v>Fehlt</v>
      </c>
      <c r="J484" s="30">
        <f t="shared" si="45"/>
        <v>0</v>
      </c>
      <c r="K484" s="23" t="str">
        <f t="shared" si="46"/>
        <v>│</v>
      </c>
      <c r="L484" s="24">
        <f t="shared" si="47"/>
        <v>1</v>
      </c>
      <c r="N484" s="841" t="str">
        <f t="shared" si="49"/>
        <v>x</v>
      </c>
    </row>
    <row r="485" spans="1:14" ht="12.75" customHeight="1">
      <c r="A485" s="63"/>
      <c r="B485" s="63" t="str">
        <f>"Zeitwert am 1. 1."&amp;'[2]MKK2'!G21</f>
        <v>Zeitwert am 1. 1.2007</v>
      </c>
      <c r="C485" s="63"/>
      <c r="D485" s="68">
        <f>IF('[2]E-MKK2'!$E13="","",'[2]E-MKK2'!$E13)</f>
        <v>1</v>
      </c>
      <c r="E485" s="69"/>
      <c r="F485" s="69"/>
      <c r="G485" s="65"/>
      <c r="H485" s="70">
        <f>IF(MKK2!D9="","",MKK2!D9)</f>
      </c>
      <c r="I485" s="71" t="str">
        <f>IF(H485=D485,"Richtig!",IF(H485="","Fehlt","Falsch"))</f>
        <v>Fehlt</v>
      </c>
      <c r="J485" s="30">
        <f t="shared" si="45"/>
        <v>0</v>
      </c>
      <c r="K485" s="23" t="str">
        <f t="shared" si="46"/>
        <v>│</v>
      </c>
      <c r="L485" s="24">
        <f t="shared" si="47"/>
        <v>1</v>
      </c>
      <c r="N485" s="841" t="str">
        <f t="shared" si="49"/>
        <v>x</v>
      </c>
    </row>
    <row r="486" spans="1:14" ht="12.75">
      <c r="A486" s="18"/>
      <c r="B486" s="18"/>
      <c r="C486" s="18"/>
      <c r="D486" s="19"/>
      <c r="H486" s="17"/>
      <c r="I486" s="21"/>
      <c r="J486" s="21"/>
      <c r="K486" s="23">
        <f t="shared" si="46"/>
      </c>
      <c r="L486" s="24">
        <f t="shared" si="47"/>
      </c>
      <c r="N486" s="842" t="str">
        <f t="shared" si="49"/>
        <v>x</v>
      </c>
    </row>
    <row r="487" spans="1:14" ht="12.75">
      <c r="A487" s="17" t="s">
        <v>12</v>
      </c>
      <c r="B487" s="17" t="s">
        <v>64</v>
      </c>
      <c r="C487" s="18"/>
      <c r="D487" s="19"/>
      <c r="H487" s="17"/>
      <c r="I487" s="21"/>
      <c r="J487" s="21"/>
      <c r="K487" s="23">
        <f t="shared" si="46"/>
      </c>
      <c r="L487" s="24">
        <f t="shared" si="47"/>
      </c>
      <c r="N487" s="839" t="str">
        <f t="shared" si="49"/>
        <v>x</v>
      </c>
    </row>
    <row r="488" spans="1:14" ht="12.75" customHeight="1">
      <c r="A488" s="63"/>
      <c r="B488" s="63" t="s">
        <v>65</v>
      </c>
      <c r="C488" s="63"/>
      <c r="D488" s="68">
        <f>IF('[2]E-MKK2'!$E16="","",'[2]E-MKK2'!$E16)</f>
        <v>0</v>
      </c>
      <c r="E488" s="69"/>
      <c r="F488" s="69"/>
      <c r="G488" s="65"/>
      <c r="H488" s="70">
        <f>IF(MKK2!D12="","",MKK2!D12)</f>
      </c>
      <c r="I488" s="71" t="str">
        <f>IF(H488=D488,"Richtig!",IF(H488="","Fehlt","Falsch"))</f>
        <v>Fehlt</v>
      </c>
      <c r="J488" s="30">
        <f t="shared" si="45"/>
        <v>0</v>
      </c>
      <c r="K488" s="23" t="str">
        <f t="shared" si="46"/>
        <v>│</v>
      </c>
      <c r="L488" s="24">
        <f t="shared" si="47"/>
        <v>1</v>
      </c>
      <c r="N488" s="841" t="str">
        <f t="shared" si="49"/>
        <v>x</v>
      </c>
    </row>
    <row r="489" spans="1:14" ht="12.75" customHeight="1">
      <c r="A489" s="63"/>
      <c r="B489" s="63" t="s">
        <v>66</v>
      </c>
      <c r="C489" s="63"/>
      <c r="D489" s="68">
        <f>IF('[2]E-MKK2'!$E17="","",'[2]E-MKK2'!$E17)</f>
        <v>6.8</v>
      </c>
      <c r="E489" s="69"/>
      <c r="F489" s="69"/>
      <c r="G489" s="65"/>
      <c r="H489" s="70">
        <f>IF(MKK2!D13="","",MKK2!D13)</f>
      </c>
      <c r="I489" s="71" t="str">
        <f>IF(H489=D489,"Richtig!",IF(H489="","Fehlt","Falsch"))</f>
        <v>Fehlt</v>
      </c>
      <c r="J489" s="30">
        <f t="shared" si="45"/>
        <v>0</v>
      </c>
      <c r="K489" s="23" t="str">
        <f t="shared" si="46"/>
        <v>│</v>
      </c>
      <c r="L489" s="24">
        <f t="shared" si="47"/>
        <v>1</v>
      </c>
      <c r="N489" s="841" t="str">
        <f t="shared" si="49"/>
        <v>x</v>
      </c>
    </row>
    <row r="490" spans="1:14" ht="12.75" customHeight="1">
      <c r="A490" s="63"/>
      <c r="B490" s="63" t="s">
        <v>67</v>
      </c>
      <c r="C490" s="63"/>
      <c r="D490" s="68">
        <f>IF('[2]E-MKK2'!$E18="","",'[2]E-MKK2'!$E18)</f>
        <v>6.8</v>
      </c>
      <c r="E490" s="69"/>
      <c r="F490" s="69"/>
      <c r="G490" s="65"/>
      <c r="H490" s="70">
        <f>IF(MKK2!D14="","",MKK2!D14)</f>
      </c>
      <c r="I490" s="71" t="str">
        <f>IF(H490=D490,"Richtig!",IF(H490="","Fehlt","Falsch"))</f>
        <v>Fehlt</v>
      </c>
      <c r="J490" s="30">
        <f t="shared" si="45"/>
        <v>0</v>
      </c>
      <c r="K490" s="23" t="str">
        <f t="shared" si="46"/>
        <v>│</v>
      </c>
      <c r="L490" s="24">
        <f t="shared" si="47"/>
        <v>1</v>
      </c>
      <c r="N490" s="841" t="str">
        <f aca="true" t="shared" si="50" ref="N490:N509">IF($L$1="","",$L$1)</f>
        <v>x</v>
      </c>
    </row>
    <row r="491" spans="1:14" ht="12.75" customHeight="1">
      <c r="A491" s="63"/>
      <c r="B491" s="63" t="s">
        <v>68</v>
      </c>
      <c r="C491" s="63"/>
      <c r="D491" s="68">
        <f>IF('[2]E-MKK2'!$E19="","",'[2]E-MKK2'!$E19)</f>
        <v>20.4</v>
      </c>
      <c r="E491" s="69"/>
      <c r="F491" s="69"/>
      <c r="G491" s="65"/>
      <c r="H491" s="70">
        <f>IF(MKK2!D15="","",MKK2!D15)</f>
      </c>
      <c r="I491" s="71" t="str">
        <f>IF(H491=D491,"Richtig!",IF(H491="","Fehlt","Falsch"))</f>
        <v>Fehlt</v>
      </c>
      <c r="J491" s="30">
        <f t="shared" si="45"/>
        <v>0</v>
      </c>
      <c r="K491" s="23" t="str">
        <f t="shared" si="46"/>
        <v>│</v>
      </c>
      <c r="L491" s="24">
        <f t="shared" si="47"/>
        <v>1</v>
      </c>
      <c r="N491" s="841" t="str">
        <f t="shared" si="50"/>
        <v>x</v>
      </c>
    </row>
    <row r="492" spans="1:14" ht="12.75" customHeight="1">
      <c r="A492" s="63"/>
      <c r="B492" s="62" t="s">
        <v>69</v>
      </c>
      <c r="C492" s="63"/>
      <c r="D492" s="72">
        <f>IF('[2]E-MKK2'!$G20="","",'[2]E-MKK2'!$G20)</f>
        <v>34</v>
      </c>
      <c r="E492" s="69"/>
      <c r="F492" s="73">
        <f>IF(AND(MKK2!D12="",MKK2!D13="",MKK2!D14="",MKK2!D15="")="","-",SUM(MKK2!D12:D15))</f>
        <v>0</v>
      </c>
      <c r="G492" s="65"/>
      <c r="H492" s="74">
        <f>IF(MKK2!F16="","",MKK2!F16)</f>
      </c>
      <c r="I492" s="71" t="str">
        <f>IF(H492=D492,"Richtig!",IF(AND(F492&lt;&gt;"",H492&lt;&gt;D492,H492=F492),"Formel: OK",IF(H492="","Fehlt","Falsch")))</f>
        <v>Fehlt</v>
      </c>
      <c r="J492" s="30">
        <f t="shared" si="45"/>
        <v>0</v>
      </c>
      <c r="K492" s="23" t="str">
        <f aca="true" t="shared" si="51" ref="K492:K553">IF(L492="","","│")</f>
        <v>│</v>
      </c>
      <c r="L492" s="24">
        <f t="shared" si="47"/>
        <v>1</v>
      </c>
      <c r="N492" s="841" t="str">
        <f t="shared" si="50"/>
        <v>x</v>
      </c>
    </row>
    <row r="493" spans="1:14" ht="12.75">
      <c r="A493" s="18"/>
      <c r="B493" s="18"/>
      <c r="C493" s="18"/>
      <c r="D493" s="19"/>
      <c r="H493" s="17"/>
      <c r="I493" s="21"/>
      <c r="J493" s="21"/>
      <c r="K493" s="23">
        <f t="shared" si="51"/>
      </c>
      <c r="L493" s="24">
        <f t="shared" si="47"/>
      </c>
      <c r="N493" s="842" t="str">
        <f t="shared" si="50"/>
        <v>x</v>
      </c>
    </row>
    <row r="494" spans="1:14" ht="12.75">
      <c r="A494" s="17" t="s">
        <v>14</v>
      </c>
      <c r="B494" s="17" t="s">
        <v>60</v>
      </c>
      <c r="C494" s="18"/>
      <c r="D494" s="19"/>
      <c r="H494" s="17"/>
      <c r="I494" s="21"/>
      <c r="J494" s="21"/>
      <c r="K494" s="23">
        <f t="shared" si="51"/>
      </c>
      <c r="L494" s="24">
        <f aca="true" t="shared" si="52" ref="L494:L557">IF(OR(B494="-",N494="",AND(D494="",H494="")),"",1)</f>
      </c>
      <c r="N494" s="839" t="str">
        <f t="shared" si="50"/>
        <v>x</v>
      </c>
    </row>
    <row r="495" spans="1:14" ht="12.75" customHeight="1">
      <c r="A495" s="63"/>
      <c r="B495" s="63" t="s">
        <v>70</v>
      </c>
      <c r="C495" s="63"/>
      <c r="D495" s="26">
        <f>IF('[2]E-MKK2'!$G23="","",'[2]E-MKK2'!$G23)</f>
        <v>16.32</v>
      </c>
      <c r="E495" s="27"/>
      <c r="F495" s="27"/>
      <c r="H495" s="28">
        <f>IF(MKK2!F19="","",MKK2!F19)</f>
      </c>
      <c r="I495" s="29" t="str">
        <f>IF(AND(D495="",H495=""),"",IF(H495=D495,"Richtig!",IF(H495="","Fehlt","Falsch")))</f>
        <v>Fehlt</v>
      </c>
      <c r="J495" s="30">
        <f aca="true" t="shared" si="53" ref="J495:J553">IF(OR(B495="-",N495="",AND(D495="",H495="")),"-",IF(I495="Richtig!",1,IF(I495="Formel: OK",0.5,IF(OR(I495="Falsch",I495="Fehlt"),0,""))))</f>
        <v>0</v>
      </c>
      <c r="K495" s="23" t="str">
        <f t="shared" si="51"/>
        <v>│</v>
      </c>
      <c r="L495" s="24">
        <f t="shared" si="52"/>
        <v>1</v>
      </c>
      <c r="N495" s="841" t="str">
        <f t="shared" si="50"/>
        <v>x</v>
      </c>
    </row>
    <row r="496" spans="1:14" ht="12.75" customHeight="1">
      <c r="A496" s="63"/>
      <c r="B496" s="63" t="s">
        <v>71</v>
      </c>
      <c r="C496" s="63"/>
      <c r="D496" s="68">
        <f>IF('[2]E-MKK2'!$E24="","",'[2]E-MKK2'!$E24)</f>
        <v>54.4</v>
      </c>
      <c r="E496" s="69"/>
      <c r="F496" s="69"/>
      <c r="G496" s="65"/>
      <c r="H496" s="70">
        <f>IF(MKK2!D20="","",MKK2!D20)</f>
      </c>
      <c r="I496" s="71" t="str">
        <f>IF(H496=D496,"Richtig!",IF(H496="","Fehlt","Falsch"))</f>
        <v>Fehlt</v>
      </c>
      <c r="J496" s="30">
        <f t="shared" si="53"/>
        <v>0</v>
      </c>
      <c r="K496" s="23" t="str">
        <f t="shared" si="51"/>
        <v>│</v>
      </c>
      <c r="L496" s="24">
        <f t="shared" si="52"/>
        <v>1</v>
      </c>
      <c r="N496" s="841" t="str">
        <f t="shared" si="50"/>
        <v>x</v>
      </c>
    </row>
    <row r="497" spans="1:14" ht="12.75" customHeight="1">
      <c r="A497" s="63"/>
      <c r="B497" s="63" t="s">
        <v>72</v>
      </c>
      <c r="C497" s="63"/>
      <c r="D497" s="72">
        <f>IF('[2]E-MKK2'!$G24="","",'[2]E-MKK2'!$G24)</f>
        <v>13.056000000000001</v>
      </c>
      <c r="E497" s="69"/>
      <c r="F497" s="73" t="str">
        <f>IF(OR(MKK2!D20="",'[2]MKK2'!G19=""),"-",MKK2!D20/100*'[2]MKK2'!G19)</f>
        <v>-</v>
      </c>
      <c r="G497" s="65"/>
      <c r="H497" s="74">
        <f>IF(MKK2!F20="","",MKK2!F20)</f>
      </c>
      <c r="I497" s="71" t="str">
        <f>IF(H497=D497,"Richtig!",IF(AND(F497&lt;&gt;"",H497&lt;&gt;D497,H497=F497),"Formel: OK",IF(H497="","Fehlt","Falsch")))</f>
        <v>Fehlt</v>
      </c>
      <c r="J497" s="30">
        <f t="shared" si="53"/>
        <v>0</v>
      </c>
      <c r="K497" s="23" t="str">
        <f t="shared" si="51"/>
        <v>│</v>
      </c>
      <c r="L497" s="24">
        <f t="shared" si="52"/>
        <v>1</v>
      </c>
      <c r="N497" s="841" t="str">
        <f t="shared" si="50"/>
        <v>x</v>
      </c>
    </row>
    <row r="498" spans="1:14" ht="12.75" customHeight="1">
      <c r="A498" s="63"/>
      <c r="B498" s="62" t="s">
        <v>73</v>
      </c>
      <c r="C498" s="63"/>
      <c r="D498" s="72">
        <f>IF('[2]E-MKK2'!$G25="","",'[2]E-MKK2'!$G25)</f>
        <v>29.376</v>
      </c>
      <c r="E498" s="69"/>
      <c r="F498" s="73" t="str">
        <f>IF(AND(MKK2!F19="",MKK2!F20=""),"-",SUM(MKK2!F19:F20))</f>
        <v>-</v>
      </c>
      <c r="G498" s="65"/>
      <c r="H498" s="74">
        <f>IF(MKK2!F21="","",MKK2!F21)</f>
      </c>
      <c r="I498" s="71" t="str">
        <f>IF(H498=D498,"Richtig!",IF(AND(F498&lt;&gt;"",H498&lt;&gt;D498,H498=F498),"Formel: OK",IF(H498="","Fehlt","Falsch")))</f>
        <v>Fehlt</v>
      </c>
      <c r="J498" s="30">
        <f t="shared" si="53"/>
        <v>0</v>
      </c>
      <c r="K498" s="23" t="str">
        <f t="shared" si="51"/>
        <v>│</v>
      </c>
      <c r="L498" s="24">
        <f t="shared" si="52"/>
        <v>1</v>
      </c>
      <c r="N498" s="841" t="str">
        <f t="shared" si="50"/>
        <v>x</v>
      </c>
    </row>
    <row r="499" spans="1:14" ht="12.75">
      <c r="A499" s="18"/>
      <c r="B499" s="18"/>
      <c r="C499" s="18"/>
      <c r="D499" s="19"/>
      <c r="H499" s="17"/>
      <c r="I499" s="21"/>
      <c r="J499" s="21"/>
      <c r="K499" s="23">
        <f t="shared" si="51"/>
      </c>
      <c r="L499" s="24">
        <f t="shared" si="52"/>
      </c>
      <c r="N499" s="842" t="str">
        <f t="shared" si="50"/>
        <v>x</v>
      </c>
    </row>
    <row r="500" spans="1:14" ht="12.75">
      <c r="A500" s="17" t="s">
        <v>17</v>
      </c>
      <c r="B500" s="17" t="s">
        <v>74</v>
      </c>
      <c r="C500" s="18"/>
      <c r="D500" s="19"/>
      <c r="H500" s="17"/>
      <c r="I500" s="21"/>
      <c r="J500" s="21"/>
      <c r="K500" s="23">
        <f t="shared" si="51"/>
      </c>
      <c r="L500" s="24">
        <f t="shared" si="52"/>
      </c>
      <c r="N500" s="839" t="str">
        <f t="shared" si="50"/>
        <v>x</v>
      </c>
    </row>
    <row r="501" spans="1:14" ht="12.75" customHeight="1">
      <c r="A501" s="63"/>
      <c r="B501" s="63" t="s">
        <v>75</v>
      </c>
      <c r="C501" s="63"/>
      <c r="D501" s="72">
        <f>IF('[2]E-MKK2'!$G28="","",'[2]E-MKK2'!$G28)</f>
        <v>1.4166666666666667</v>
      </c>
      <c r="E501" s="69"/>
      <c r="F501" s="73" t="str">
        <f>IF(OR(MKK2!F16="",'[2]MKK2'!G19=""),"-",MKK2!F16/'[2]MKK2'!G19)</f>
        <v>-</v>
      </c>
      <c r="G501" s="65"/>
      <c r="H501" s="74">
        <f>IF(MKK2!F24="","",MKK2!F24)</f>
      </c>
      <c r="I501" s="71" t="str">
        <f>IF(H501=D501,"Richtig!",IF(AND(F501&lt;&gt;"",H501&lt;&gt;D501,H501=F501),"Formel: OK",IF(H501="","Fehlt","Falsch")))</f>
        <v>Fehlt</v>
      </c>
      <c r="J501" s="30">
        <f t="shared" si="53"/>
        <v>0</v>
      </c>
      <c r="K501" s="23" t="str">
        <f t="shared" si="51"/>
        <v>│</v>
      </c>
      <c r="L501" s="24">
        <f t="shared" si="52"/>
        <v>1</v>
      </c>
      <c r="N501" s="841" t="str">
        <f t="shared" si="50"/>
        <v>x</v>
      </c>
    </row>
    <row r="502" spans="1:14" ht="12.75" customHeight="1">
      <c r="A502" s="63"/>
      <c r="B502" s="63" t="s">
        <v>76</v>
      </c>
      <c r="C502" s="63"/>
      <c r="D502" s="72">
        <f>IF('[2]E-MKK2'!$G29="","",'[2]E-MKK2'!$G29)</f>
        <v>1.224</v>
      </c>
      <c r="E502" s="69"/>
      <c r="F502" s="73" t="str">
        <f>IF(OR(MKK2!F21="",'[2]MKK2'!G19=""),"-",MKK2!F21/'[2]MKK2'!G19)</f>
        <v>-</v>
      </c>
      <c r="G502" s="65"/>
      <c r="H502" s="74">
        <f>IF(MKK2!F25="","",MKK2!F25)</f>
      </c>
      <c r="I502" s="71" t="str">
        <f>IF(H502=D502,"Richtig!",IF(AND(F502&lt;&gt;"",H502&lt;&gt;D502,H502=F502),"Formel: OK",IF(H502="","Fehlt","Falsch")))</f>
        <v>Fehlt</v>
      </c>
      <c r="J502" s="30">
        <f t="shared" si="53"/>
        <v>0</v>
      </c>
      <c r="K502" s="23" t="str">
        <f t="shared" si="51"/>
        <v>│</v>
      </c>
      <c r="L502" s="24">
        <f t="shared" si="52"/>
        <v>1</v>
      </c>
      <c r="N502" s="841" t="str">
        <f t="shared" si="50"/>
        <v>x</v>
      </c>
    </row>
    <row r="503" spans="1:14" ht="12.75" customHeight="1">
      <c r="A503" s="63"/>
      <c r="B503" s="62" t="s">
        <v>77</v>
      </c>
      <c r="C503" s="63"/>
      <c r="D503" s="72">
        <f>IF('[2]E-MKK2'!$G30="","",'[2]E-MKK2'!$G30)</f>
        <v>2.6406666666666667</v>
      </c>
      <c r="E503" s="69"/>
      <c r="F503" s="73" t="str">
        <f>IF(AND(MKK2!F24="",MKK2!F25=""),"-",SUM(MKK2!F24:F25))</f>
        <v>-</v>
      </c>
      <c r="G503" s="65"/>
      <c r="H503" s="74">
        <f>IF(MKK2!F26="","",MKK2!F26)</f>
      </c>
      <c r="I503" s="71" t="str">
        <f>IF(H503=D503,"Richtig!",IF(AND(F503&lt;&gt;"",H503&lt;&gt;D503,H503=F503),"Formel: OK",IF(H503="","Fehlt","Falsch")))</f>
        <v>Fehlt</v>
      </c>
      <c r="J503" s="30">
        <f t="shared" si="53"/>
        <v>0</v>
      </c>
      <c r="K503" s="23" t="str">
        <f t="shared" si="51"/>
        <v>│</v>
      </c>
      <c r="L503" s="24">
        <f t="shared" si="52"/>
        <v>1</v>
      </c>
      <c r="N503" s="841" t="str">
        <f t="shared" si="50"/>
        <v>x</v>
      </c>
    </row>
    <row r="504" spans="1:14" ht="12.75" customHeight="1">
      <c r="A504" s="65"/>
      <c r="B504" s="65"/>
      <c r="C504" s="65"/>
      <c r="D504" s="64"/>
      <c r="E504" s="65"/>
      <c r="F504" s="65"/>
      <c r="G504" s="65"/>
      <c r="H504" s="75"/>
      <c r="I504" s="67"/>
      <c r="J504" s="67"/>
      <c r="K504" s="23">
        <f t="shared" si="51"/>
      </c>
      <c r="L504" s="24">
        <f t="shared" si="52"/>
      </c>
      <c r="N504" s="842" t="str">
        <f t="shared" si="50"/>
        <v>x</v>
      </c>
    </row>
    <row r="505" spans="1:14" ht="22.5">
      <c r="A505" s="10" t="s">
        <v>79</v>
      </c>
      <c r="B505" s="11"/>
      <c r="C505" s="12"/>
      <c r="D505" s="13" t="s">
        <v>4</v>
      </c>
      <c r="E505" s="13"/>
      <c r="F505" s="14" t="s">
        <v>5</v>
      </c>
      <c r="G505" s="12"/>
      <c r="H505" s="14" t="s">
        <v>6</v>
      </c>
      <c r="I505" s="15" t="str">
        <f>"Fehler"</f>
        <v>Fehler</v>
      </c>
      <c r="J505" s="16" t="s">
        <v>7</v>
      </c>
      <c r="K505" s="16"/>
      <c r="L505" s="16"/>
      <c r="N505" s="840" t="str">
        <f t="shared" si="50"/>
        <v>x</v>
      </c>
    </row>
    <row r="506" spans="1:14" s="79" customFormat="1" ht="12.75" customHeight="1">
      <c r="A506" s="76" t="s">
        <v>30</v>
      </c>
      <c r="B506" s="76" t="str">
        <f>Jog!B5</f>
        <v>LEISTUNG</v>
      </c>
      <c r="C506" s="77"/>
      <c r="D506" s="78"/>
      <c r="H506" s="80"/>
      <c r="I506" s="81"/>
      <c r="J506" s="81"/>
      <c r="K506" s="23">
        <f t="shared" si="51"/>
      </c>
      <c r="L506" s="24">
        <f t="shared" si="52"/>
      </c>
      <c r="M506" s="1"/>
      <c r="N506" s="839" t="str">
        <f t="shared" si="50"/>
        <v>x</v>
      </c>
    </row>
    <row r="507" spans="2:14" s="79" customFormat="1" ht="12.75" customHeight="1">
      <c r="B507" s="82" t="str">
        <f>MID(Jog!C8,4,6)&amp;" "&amp;Jog!F5</f>
        <v>Gläser </v>
      </c>
      <c r="C507" s="77"/>
      <c r="D507" s="83">
        <f>IF('[2]E-Jog'!$F8="","",'[2]E-Jog'!$F8)</f>
        <v>200</v>
      </c>
      <c r="E507" s="84"/>
      <c r="F507" s="84"/>
      <c r="H507" s="85">
        <f>IF(Jog!$F8="","",Jog!$F8)</f>
      </c>
      <c r="I507" s="86" t="str">
        <f>IF(H507=D507,"Richtig!",IF(H507="","Fehlt","Falsch"))</f>
        <v>Fehlt</v>
      </c>
      <c r="J507" s="30">
        <f t="shared" si="53"/>
        <v>0</v>
      </c>
      <c r="K507" s="23" t="str">
        <f t="shared" si="51"/>
        <v>│</v>
      </c>
      <c r="L507" s="24">
        <f t="shared" si="52"/>
        <v>1</v>
      </c>
      <c r="M507" s="1"/>
      <c r="N507" s="841" t="str">
        <f t="shared" si="50"/>
        <v>x</v>
      </c>
    </row>
    <row r="508" spans="2:14" s="79" customFormat="1" ht="12.75" customHeight="1">
      <c r="B508" s="82" t="str">
        <f>Jog!B9&amp;" "&amp;Jog!F5</f>
        <v>Verkaufserlös </v>
      </c>
      <c r="C508" s="77"/>
      <c r="D508" s="83">
        <f>IF('[2]E-Jog'!$F9="","",'[2]E-Jog'!$F9)</f>
        <v>280</v>
      </c>
      <c r="E508" s="84"/>
      <c r="F508" s="84"/>
      <c r="H508" s="85">
        <f>IF(Jog!$F9="","",Jog!$F9)</f>
      </c>
      <c r="I508" s="86" t="str">
        <f>IF(H508=D508,"Richtig!",IF(H508="","Fehlt","Falsch"))</f>
        <v>Fehlt</v>
      </c>
      <c r="J508" s="30">
        <f t="shared" si="53"/>
        <v>0</v>
      </c>
      <c r="K508" s="23" t="str">
        <f t="shared" si="51"/>
        <v>│</v>
      </c>
      <c r="L508" s="24">
        <f t="shared" si="52"/>
        <v>1</v>
      </c>
      <c r="M508" s="1"/>
      <c r="N508" s="841" t="str">
        <f t="shared" si="50"/>
        <v>x</v>
      </c>
    </row>
    <row r="509" spans="1:14" s="79" customFormat="1" ht="15">
      <c r="A509" s="77"/>
      <c r="B509" s="87" t="str">
        <f>Jog!B10&amp;" "&amp;Jog!F5</f>
        <v>Berechnung fehlt! </v>
      </c>
      <c r="C509" s="77"/>
      <c r="D509" s="88">
        <f>IF('[2]E-Jog'!$F10="","",'[2]E-Jog'!$F10)</f>
        <v>-24.430769230769215</v>
      </c>
      <c r="E509" s="84"/>
      <c r="F509" s="89" t="str">
        <f>IF(OR(H508="",H546="",H508="noch leer",H546="noch leer"),"-",H508-H546)</f>
        <v>-</v>
      </c>
      <c r="H509" s="90">
        <f>IF(Jog!$F10="","",Jog!$F10)</f>
      </c>
      <c r="I509" s="86" t="str">
        <f>IF(B509="-","",IF(H509=D509,"Richtig!",IF(AND(D509&lt;&gt;H509,F509=H509),"Formel: OK",IF(H509="","Fehlt","Falsch"))))</f>
        <v>Fehlt</v>
      </c>
      <c r="J509" s="30">
        <f t="shared" si="53"/>
        <v>0</v>
      </c>
      <c r="K509" s="23" t="str">
        <f t="shared" si="51"/>
        <v>│</v>
      </c>
      <c r="L509" s="24">
        <f t="shared" si="52"/>
        <v>1</v>
      </c>
      <c r="M509" s="1"/>
      <c r="N509" s="841" t="str">
        <f t="shared" si="50"/>
        <v>x</v>
      </c>
    </row>
    <row r="510" spans="1:14" s="79" customFormat="1" ht="15" hidden="1">
      <c r="A510" s="77"/>
      <c r="B510" s="87" t="str">
        <f>Jog!B10&amp;" "&amp;Jog!H19</f>
        <v>Berechnung fehlt! pro Stk.</v>
      </c>
      <c r="C510" s="77"/>
      <c r="D510" s="88">
        <f>IF('[2]E-Jog'!$H10="","",'[2]E-Jog'!$H10)</f>
        <v>-0.12215384615384606</v>
      </c>
      <c r="E510" s="84"/>
      <c r="F510" s="89" t="str">
        <f>IF(OR(H509="",$H$507=""),"-",H509/$H$507)</f>
        <v>-</v>
      </c>
      <c r="H510" s="90" t="str">
        <f>IF(Jog!$H10="","",Jog!$H10)</f>
        <v>noch leer</v>
      </c>
      <c r="I510" s="86" t="str">
        <f>IF(B510="-","",IF(H510=D510,"Richtig!",IF(AND(D510&lt;&gt;H510,F510=H510),"Formel: OK",IF(H510="","Fehlt","Falsch"))))</f>
        <v>Falsch</v>
      </c>
      <c r="J510" s="30" t="str">
        <f t="shared" si="53"/>
        <v>-</v>
      </c>
      <c r="K510" s="23">
        <f t="shared" si="51"/>
      </c>
      <c r="L510" s="24">
        <f t="shared" si="52"/>
      </c>
      <c r="M510" s="1"/>
      <c r="N510" s="841"/>
    </row>
    <row r="511" spans="1:14" ht="12.75">
      <c r="A511" s="18"/>
      <c r="B511" s="18"/>
      <c r="C511" s="18"/>
      <c r="D511" s="19"/>
      <c r="H511" s="17"/>
      <c r="I511" s="21"/>
      <c r="J511" s="21"/>
      <c r="K511" s="23">
        <f t="shared" si="51"/>
      </c>
      <c r="L511" s="24">
        <f t="shared" si="52"/>
      </c>
      <c r="N511" s="842" t="str">
        <f>IF($L$1="","",$L$1)</f>
        <v>x</v>
      </c>
    </row>
    <row r="512" spans="1:14" ht="12.75">
      <c r="A512" s="17" t="s">
        <v>12</v>
      </c>
      <c r="B512" s="17" t="str">
        <f>Jog!B15</f>
        <v>Rohstoffkosten</v>
      </c>
      <c r="C512" s="18"/>
      <c r="D512" s="19"/>
      <c r="H512" s="17"/>
      <c r="I512" s="21"/>
      <c r="J512" s="21"/>
      <c r="K512" s="23">
        <f t="shared" si="51"/>
      </c>
      <c r="L512" s="24">
        <f t="shared" si="52"/>
      </c>
      <c r="N512" s="839" t="str">
        <f>IF($L$1="","",$L$1)</f>
        <v>x</v>
      </c>
    </row>
    <row r="513" spans="1:14" s="79" customFormat="1" ht="12.75" customHeight="1">
      <c r="A513" s="77"/>
      <c r="B513" s="87" t="str">
        <f>Jog!B16&amp;"kosten "&amp;Jog!F5</f>
        <v>Rohmilchkosten </v>
      </c>
      <c r="C513" s="77"/>
      <c r="D513" s="83">
        <f>IF('[2]E-Jog'!$G16="","",'[2]E-Jog'!$G16)</f>
        <v>34</v>
      </c>
      <c r="E513" s="84"/>
      <c r="F513" s="84"/>
      <c r="H513" s="85">
        <f>IF(Jog!$G16="","",Jog!$G16)</f>
      </c>
      <c r="I513" s="86" t="str">
        <f>IF(B513="-","",IF(H513=D513,"Richtig!",IF(H513="","Fehlt","Falsch")))</f>
        <v>Fehlt</v>
      </c>
      <c r="J513" s="30">
        <f t="shared" si="53"/>
        <v>0</v>
      </c>
      <c r="K513" s="23" t="str">
        <f t="shared" si="51"/>
        <v>│</v>
      </c>
      <c r="L513" s="24">
        <f t="shared" si="52"/>
        <v>1</v>
      </c>
      <c r="M513" s="1"/>
      <c r="N513" s="841" t="str">
        <f>IF($L$1="","",$L$1)</f>
        <v>x</v>
      </c>
    </row>
    <row r="514" spans="1:14" s="79" customFormat="1" ht="15" hidden="1">
      <c r="A514" s="77"/>
      <c r="B514" s="91" t="str">
        <f>Jog!B17&amp;" "&amp;Jog!F5</f>
        <v>Summe Rohstoffkosten </v>
      </c>
      <c r="C514" s="77"/>
      <c r="D514" s="88">
        <f>IF('[2]E-Jog'!$G17="","",'[2]E-Jog'!$G17)</f>
        <v>34</v>
      </c>
      <c r="E514" s="84"/>
      <c r="F514" s="89" t="str">
        <f>IF(H513="","-",H513)</f>
        <v>-</v>
      </c>
      <c r="H514" s="90" t="str">
        <f>IF(Jog!$G17="","",Jog!$G17)</f>
        <v>noch leer</v>
      </c>
      <c r="I514" s="86" t="str">
        <f>IF(B514="-","",IF(H514=D514,"Richtig!",IF(AND(D514&lt;&gt;H514,F514=H514),"Formel: OK",IF(H514="","Fehlt","Falsch"))))</f>
        <v>Falsch</v>
      </c>
      <c r="J514" s="30" t="str">
        <f t="shared" si="53"/>
        <v>-</v>
      </c>
      <c r="K514" s="23">
        <f t="shared" si="51"/>
      </c>
      <c r="L514" s="24">
        <f t="shared" si="52"/>
      </c>
      <c r="M514" s="1"/>
      <c r="N514" s="841"/>
    </row>
    <row r="515" spans="1:14" s="79" customFormat="1" ht="15">
      <c r="A515" s="77"/>
      <c r="B515" s="91" t="str">
        <f>Jog!B17&amp;" "&amp;Jog!H19</f>
        <v>Summe Rohstoffkosten pro Stk.</v>
      </c>
      <c r="C515" s="77"/>
      <c r="D515" s="88">
        <f>IF('[2]E-Jog'!$H17="","",'[2]E-Jog'!$H17)</f>
        <v>0.17</v>
      </c>
      <c r="E515" s="84"/>
      <c r="F515" s="89" t="str">
        <f>IF(OR(H514="",H514="noch leer",$H$507=""),"-",H514/$H$507)</f>
        <v>-</v>
      </c>
      <c r="H515" s="90">
        <f>IF(Jog!$H17="","",Jog!$H17)</f>
      </c>
      <c r="I515" s="86" t="str">
        <f>IF(B515="-","",IF(H515=D515,"Richtig!",IF(AND(D515&lt;&gt;H515,F515=H515),"Formel: OK",IF(H515="","Fehlt","Falsch"))))</f>
        <v>Fehlt</v>
      </c>
      <c r="J515" s="30">
        <f t="shared" si="53"/>
        <v>0</v>
      </c>
      <c r="K515" s="23" t="str">
        <f t="shared" si="51"/>
        <v>│</v>
      </c>
      <c r="L515" s="24">
        <f t="shared" si="52"/>
        <v>1</v>
      </c>
      <c r="M515" s="1"/>
      <c r="N515" s="841" t="str">
        <f aca="true" t="shared" si="54" ref="N515:N524">IF($L$1="","",$L$1)</f>
        <v>x</v>
      </c>
    </row>
    <row r="516" spans="1:14" ht="12.75">
      <c r="A516" s="18"/>
      <c r="B516" s="18"/>
      <c r="C516" s="18"/>
      <c r="D516" s="19"/>
      <c r="H516" s="17"/>
      <c r="I516" s="21"/>
      <c r="J516" s="21"/>
      <c r="K516" s="23">
        <f t="shared" si="51"/>
      </c>
      <c r="L516" s="24">
        <f t="shared" si="52"/>
      </c>
      <c r="N516" s="842" t="str">
        <f t="shared" si="54"/>
        <v>x</v>
      </c>
    </row>
    <row r="517" spans="1:14" ht="12.75">
      <c r="A517" s="17" t="s">
        <v>14</v>
      </c>
      <c r="B517" s="17" t="str">
        <f>Jog!B19</f>
        <v>Verarbeitungskosten</v>
      </c>
      <c r="C517" s="18"/>
      <c r="D517" s="19"/>
      <c r="H517" s="17"/>
      <c r="I517" s="21"/>
      <c r="J517" s="21"/>
      <c r="K517" s="23">
        <f t="shared" si="51"/>
      </c>
      <c r="L517" s="24">
        <f t="shared" si="52"/>
      </c>
      <c r="N517" s="839" t="str">
        <f t="shared" si="54"/>
        <v>x</v>
      </c>
    </row>
    <row r="518" spans="1:14" s="79" customFormat="1" ht="12.75" customHeight="1">
      <c r="A518" s="77"/>
      <c r="B518" s="87" t="str">
        <f>IF(Jog!B20="","-",Jog!B20&amp;" "&amp;Jog!$F$5)</f>
        <v>Glas </v>
      </c>
      <c r="C518" s="77"/>
      <c r="D518" s="83">
        <f>IF('[2]E-Jog'!$G20="","",'[2]E-Jog'!$G20)</f>
        <v>60</v>
      </c>
      <c r="E518" s="84"/>
      <c r="F518" s="84"/>
      <c r="H518" s="85">
        <f>IF(Jog!$G20="","",Jog!$G20)</f>
      </c>
      <c r="I518" s="86" t="str">
        <f aca="true" t="shared" si="55" ref="I518:I526">IF(B518="-","",IF(H518=D518,"Richtig!",IF(H518="","Fehlt","Falsch")))</f>
        <v>Fehlt</v>
      </c>
      <c r="J518" s="30">
        <f t="shared" si="53"/>
        <v>0</v>
      </c>
      <c r="K518" s="23" t="str">
        <f t="shared" si="51"/>
        <v>│</v>
      </c>
      <c r="L518" s="24">
        <f t="shared" si="52"/>
        <v>1</v>
      </c>
      <c r="M518" s="1"/>
      <c r="N518" s="841" t="str">
        <f t="shared" si="54"/>
        <v>x</v>
      </c>
    </row>
    <row r="519" spans="1:14" s="79" customFormat="1" ht="15">
      <c r="A519" s="77"/>
      <c r="B519" s="87" t="str">
        <f>IF(Jog!B21="","-",Jog!B21&amp;" "&amp;Jog!$F$5)</f>
        <v>Deckel </v>
      </c>
      <c r="C519" s="77"/>
      <c r="D519" s="83">
        <f>IF('[2]E-Jog'!$G21="","",'[2]E-Jog'!$G21)</f>
        <v>12</v>
      </c>
      <c r="E519" s="84"/>
      <c r="F519" s="84"/>
      <c r="H519" s="85">
        <f>IF(Jog!$G21="","",Jog!$G21)</f>
      </c>
      <c r="I519" s="86" t="str">
        <f t="shared" si="55"/>
        <v>Fehlt</v>
      </c>
      <c r="J519" s="30">
        <f t="shared" si="53"/>
        <v>0</v>
      </c>
      <c r="K519" s="23" t="str">
        <f t="shared" si="51"/>
        <v>│</v>
      </c>
      <c r="L519" s="24">
        <f t="shared" si="52"/>
        <v>1</v>
      </c>
      <c r="M519" s="1"/>
      <c r="N519" s="841" t="str">
        <f t="shared" si="54"/>
        <v>x</v>
      </c>
    </row>
    <row r="520" spans="2:14" s="79" customFormat="1" ht="15">
      <c r="B520" s="87" t="str">
        <f>IF(Jog!B22="","-",Jog!B22&amp;" "&amp;Jog!$F$5)</f>
        <v>Jogurtkultur </v>
      </c>
      <c r="C520" s="77"/>
      <c r="D520" s="83">
        <f>IF('[2]E-Jog'!$G22="","",'[2]E-Jog'!$G22)</f>
        <v>3</v>
      </c>
      <c r="E520" s="84"/>
      <c r="F520" s="84"/>
      <c r="H520" s="85">
        <f>IF(Jog!$G22="","",Jog!$G22)</f>
      </c>
      <c r="I520" s="86" t="str">
        <f t="shared" si="55"/>
        <v>Fehlt</v>
      </c>
      <c r="J520" s="30">
        <f t="shared" si="53"/>
        <v>0</v>
      </c>
      <c r="K520" s="23" t="str">
        <f t="shared" si="51"/>
        <v>│</v>
      </c>
      <c r="L520" s="24">
        <f t="shared" si="52"/>
        <v>1</v>
      </c>
      <c r="M520" s="1"/>
      <c r="N520" s="841" t="str">
        <f t="shared" si="54"/>
        <v>x</v>
      </c>
    </row>
    <row r="521" spans="2:14" s="79" customFormat="1" ht="15">
      <c r="B521" s="87" t="str">
        <f>IF(Jog!B23="","-",Jog!B23&amp;" "&amp;Jog!$F$5)</f>
        <v>Geschmackszutaten: Marille  </v>
      </c>
      <c r="C521" s="77"/>
      <c r="D521" s="83">
        <f>IF('[2]E-Jog'!$G23="","",'[2]E-Jog'!$G23)</f>
        <v>30.400000000000002</v>
      </c>
      <c r="E521" s="84"/>
      <c r="F521" s="84"/>
      <c r="H521" s="85">
        <f>IF(Jog!$G23="","",Jog!$G23)</f>
      </c>
      <c r="I521" s="86" t="str">
        <f t="shared" si="55"/>
        <v>Fehlt</v>
      </c>
      <c r="J521" s="30">
        <f t="shared" si="53"/>
        <v>0</v>
      </c>
      <c r="K521" s="23" t="str">
        <f t="shared" si="51"/>
        <v>│</v>
      </c>
      <c r="L521" s="24">
        <f t="shared" si="52"/>
        <v>1</v>
      </c>
      <c r="M521" s="1"/>
      <c r="N521" s="841" t="str">
        <f t="shared" si="54"/>
        <v>x</v>
      </c>
    </row>
    <row r="522" spans="2:14" s="79" customFormat="1" ht="15">
      <c r="B522" s="87" t="str">
        <f>IF(Jog!B24="","-",Jog!B24&amp;" "&amp;Jog!$F$5)</f>
        <v>Zucker </v>
      </c>
      <c r="C522" s="77"/>
      <c r="D522" s="83">
        <f>IF('[2]E-Jog'!$G24="","",'[2]E-Jog'!$G24)</f>
        <v>0.5</v>
      </c>
      <c r="E522" s="84"/>
      <c r="F522" s="84"/>
      <c r="H522" s="85">
        <f>IF(Jog!$G24="","",Jog!$G24)</f>
      </c>
      <c r="I522" s="86" t="str">
        <f t="shared" si="55"/>
        <v>Fehlt</v>
      </c>
      <c r="J522" s="30">
        <f t="shared" si="53"/>
        <v>0</v>
      </c>
      <c r="K522" s="23" t="str">
        <f t="shared" si="51"/>
        <v>│</v>
      </c>
      <c r="L522" s="24">
        <f t="shared" si="52"/>
        <v>1</v>
      </c>
      <c r="M522" s="1"/>
      <c r="N522" s="841" t="str">
        <f t="shared" si="54"/>
        <v>x</v>
      </c>
    </row>
    <row r="523" spans="2:14" s="79" customFormat="1" ht="15">
      <c r="B523" s="87" t="str">
        <f>IF(Jog!B25="","-",Jog!B25&amp;" "&amp;Jog!$F$5)</f>
        <v>Strom </v>
      </c>
      <c r="C523" s="77"/>
      <c r="D523" s="83">
        <f>IF('[2]E-Jog'!$G25="","",'[2]E-Jog'!$G25)</f>
        <v>7.199999999999999</v>
      </c>
      <c r="E523" s="84"/>
      <c r="F523" s="84"/>
      <c r="H523" s="85">
        <f>IF(Jog!$G25="","",Jog!$G25)</f>
      </c>
      <c r="I523" s="86" t="str">
        <f t="shared" si="55"/>
        <v>Fehlt</v>
      </c>
      <c r="J523" s="30">
        <f t="shared" si="53"/>
        <v>0</v>
      </c>
      <c r="K523" s="23" t="str">
        <f t="shared" si="51"/>
        <v>│</v>
      </c>
      <c r="L523" s="24">
        <f t="shared" si="52"/>
        <v>1</v>
      </c>
      <c r="M523" s="1"/>
      <c r="N523" s="841" t="str">
        <f t="shared" si="54"/>
        <v>x</v>
      </c>
    </row>
    <row r="524" spans="2:14" s="79" customFormat="1" ht="15">
      <c r="B524" s="87" t="str">
        <f>IF(Jog!B26="","-",Jog!B26&amp;" "&amp;Jog!$F$5)</f>
        <v>Wasser (inkl. Abwasser) </v>
      </c>
      <c r="C524" s="77"/>
      <c r="D524" s="83">
        <f>IF('[2]E-Jog'!$G26="","",'[2]E-Jog'!$G26)</f>
        <v>5.4</v>
      </c>
      <c r="E524" s="84"/>
      <c r="F524" s="84"/>
      <c r="H524" s="85">
        <f>IF(Jog!$G26="","",Jog!$G26)</f>
      </c>
      <c r="I524" s="86" t="str">
        <f t="shared" si="55"/>
        <v>Fehlt</v>
      </c>
      <c r="J524" s="30">
        <f t="shared" si="53"/>
        <v>0</v>
      </c>
      <c r="K524" s="23" t="str">
        <f t="shared" si="51"/>
        <v>│</v>
      </c>
      <c r="L524" s="24">
        <f t="shared" si="52"/>
        <v>1</v>
      </c>
      <c r="M524" s="1"/>
      <c r="N524" s="841" t="str">
        <f t="shared" si="54"/>
        <v>x</v>
      </c>
    </row>
    <row r="525" spans="2:14" s="79" customFormat="1" ht="15" hidden="1">
      <c r="B525" s="87" t="str">
        <f>IF(Jog!B27="","-",Jog!B27&amp;" "&amp;Jog!$F$5)</f>
        <v>-</v>
      </c>
      <c r="C525" s="77"/>
      <c r="D525" s="83">
        <f>IF('[2]E-Jog'!$G27="","",'[2]E-Jog'!$G27)</f>
      </c>
      <c r="E525" s="84"/>
      <c r="F525" s="84"/>
      <c r="H525" s="85">
        <f>IF(Jog!$G27="","",Jog!$G27)</f>
      </c>
      <c r="I525" s="86">
        <f t="shared" si="55"/>
      </c>
      <c r="J525" s="30" t="str">
        <f t="shared" si="53"/>
        <v>-</v>
      </c>
      <c r="K525" s="23">
        <f t="shared" si="51"/>
      </c>
      <c r="L525" s="24">
        <f t="shared" si="52"/>
      </c>
      <c r="M525" s="1"/>
      <c r="N525" s="841"/>
    </row>
    <row r="526" spans="2:14" s="79" customFormat="1" ht="15" hidden="1">
      <c r="B526" s="87" t="str">
        <f>IF(Jog!B28="","-",Jog!B28&amp;" "&amp;Jog!$F$5)</f>
        <v>-</v>
      </c>
      <c r="C526" s="77"/>
      <c r="D526" s="83">
        <f>IF('[2]E-Jog'!$G28="","",'[2]E-Jog'!$G28)</f>
      </c>
      <c r="E526" s="84"/>
      <c r="F526" s="84"/>
      <c r="H526" s="85">
        <f>IF(Jog!$G28="","",Jog!$G28)</f>
      </c>
      <c r="I526" s="86">
        <f t="shared" si="55"/>
      </c>
      <c r="J526" s="30" t="str">
        <f t="shared" si="53"/>
        <v>-</v>
      </c>
      <c r="K526" s="23">
        <f t="shared" si="51"/>
      </c>
      <c r="L526" s="24">
        <f t="shared" si="52"/>
      </c>
      <c r="M526" s="1"/>
      <c r="N526" s="841"/>
    </row>
    <row r="527" spans="1:14" s="79" customFormat="1" ht="15">
      <c r="A527" s="77"/>
      <c r="B527" s="91" t="str">
        <f>Jog!B29&amp;" "&amp;Jog!$F$5</f>
        <v>Summe Verarbeitungskosten </v>
      </c>
      <c r="C527" s="77"/>
      <c r="D527" s="88">
        <f>IF('[2]E-Jog'!$G29="","",'[2]E-Jog'!$G29)</f>
        <v>118.50000000000001</v>
      </c>
      <c r="E527" s="84"/>
      <c r="F527" s="89" t="str">
        <f>IF(AND(H518="",H519="",H520="",H521="",H522="",H523="",H524="",H525="",H526=""),"-",SUM(H518:H526))</f>
        <v>-</v>
      </c>
      <c r="H527" s="90">
        <f>IF(Jog!$G29="","",Jog!$G29)</f>
      </c>
      <c r="I527" s="86" t="str">
        <f>IF(B527="-","",IF(H527=D527,"Richtig!",IF(AND(D527&lt;&gt;H527,F527=H527),"Formel: OK",IF(H527="","Fehlt","Falsch"))))</f>
        <v>Fehlt</v>
      </c>
      <c r="J527" s="30">
        <f t="shared" si="53"/>
        <v>0</v>
      </c>
      <c r="K527" s="23" t="str">
        <f t="shared" si="51"/>
        <v>│</v>
      </c>
      <c r="L527" s="24">
        <f t="shared" si="52"/>
        <v>1</v>
      </c>
      <c r="M527" s="1"/>
      <c r="N527" s="841" t="str">
        <f>IF($L$1="","",$L$1)</f>
        <v>x</v>
      </c>
    </row>
    <row r="528" spans="1:14" s="79" customFormat="1" ht="15">
      <c r="A528" s="77"/>
      <c r="B528" s="91" t="str">
        <f>Jog!B29&amp;" "&amp;Jog!$H$19</f>
        <v>Summe Verarbeitungskosten pro Stk.</v>
      </c>
      <c r="C528" s="77"/>
      <c r="D528" s="88">
        <f>IF('[2]E-Jog'!$H29="","",'[2]E-Jog'!$H29)</f>
        <v>0.5925</v>
      </c>
      <c r="E528" s="84"/>
      <c r="F528" s="89" t="str">
        <f>IF(OR(H527="",$H$507=""),"-",H527/$H$507)</f>
        <v>-</v>
      </c>
      <c r="H528" s="90">
        <f>IF(Jog!$H29="","",Jog!$H29)</f>
      </c>
      <c r="I528" s="86" t="str">
        <f>IF(B528="-","",IF(H528=D528,"Richtig!",IF(AND(D528&lt;&gt;H528,F528=H528),"Formel: OK",IF(H528="","Fehlt","Falsch"))))</f>
        <v>Fehlt</v>
      </c>
      <c r="J528" s="30">
        <f t="shared" si="53"/>
        <v>0</v>
      </c>
      <c r="K528" s="23" t="str">
        <f t="shared" si="51"/>
        <v>│</v>
      </c>
      <c r="L528" s="24">
        <f t="shared" si="52"/>
        <v>1</v>
      </c>
      <c r="M528" s="1"/>
      <c r="N528" s="841" t="str">
        <f>IF($L$1="","",$L$1)</f>
        <v>x</v>
      </c>
    </row>
    <row r="529" spans="1:14" ht="12.75">
      <c r="A529" s="18"/>
      <c r="B529" s="18"/>
      <c r="C529" s="18"/>
      <c r="D529" s="19"/>
      <c r="H529" s="17"/>
      <c r="I529" s="21"/>
      <c r="J529" s="21"/>
      <c r="K529" s="23">
        <f t="shared" si="51"/>
      </c>
      <c r="L529" s="24">
        <f t="shared" si="52"/>
      </c>
      <c r="N529" s="842" t="str">
        <f>IF($L$1="","",$L$1)</f>
        <v>x</v>
      </c>
    </row>
    <row r="530" spans="1:14" ht="12.75">
      <c r="A530" s="17" t="s">
        <v>17</v>
      </c>
      <c r="B530" s="17" t="str">
        <f>Jog!B31</f>
        <v>Arbeitskosten</v>
      </c>
      <c r="C530" s="18"/>
      <c r="D530" s="19"/>
      <c r="H530" s="17"/>
      <c r="I530" s="21"/>
      <c r="J530" s="21"/>
      <c r="K530" s="23">
        <f t="shared" si="51"/>
      </c>
      <c r="L530" s="24">
        <f t="shared" si="52"/>
      </c>
      <c r="N530" s="839" t="str">
        <f>IF($L$1="","",$L$1)</f>
        <v>x</v>
      </c>
    </row>
    <row r="531" spans="2:14" s="79" customFormat="1" ht="15">
      <c r="B531" s="87" t="str">
        <f>Jog!B31&amp;" "&amp;Jog!G31</f>
        <v>Arbeitskosten pro Woche</v>
      </c>
      <c r="C531" s="77"/>
      <c r="D531" s="83">
        <f>IF('[2]E-Jog'!$G33="","",'[2]E-Jog'!$G33)</f>
        <v>120</v>
      </c>
      <c r="E531" s="84"/>
      <c r="F531" s="84"/>
      <c r="H531" s="85">
        <f>IF(Jog!$G33="","",Jog!$G33)</f>
      </c>
      <c r="I531" s="86" t="str">
        <f>IF(B531="-","",IF(H531=D531,"Richtig!",IF(H531="","Fehlt","Falsch")))</f>
        <v>Fehlt</v>
      </c>
      <c r="J531" s="30">
        <f t="shared" si="53"/>
        <v>0</v>
      </c>
      <c r="K531" s="23" t="str">
        <f t="shared" si="51"/>
        <v>│</v>
      </c>
      <c r="L531" s="24">
        <f t="shared" si="52"/>
        <v>1</v>
      </c>
      <c r="M531" s="1"/>
      <c r="N531" s="841" t="str">
        <f>IF($L$1="","",$L$1)</f>
        <v>x</v>
      </c>
    </row>
    <row r="532" spans="1:14" s="79" customFormat="1" ht="15" hidden="1">
      <c r="A532" s="77"/>
      <c r="B532" s="91" t="str">
        <f>Jog!B34&amp;" "&amp;Jog!$F$5</f>
        <v>Summe Arbeitskosten </v>
      </c>
      <c r="C532" s="77"/>
      <c r="D532" s="88">
        <f>IF('[2]E-Jog'!$G34="","",'[2]E-Jog'!$G34)</f>
        <v>120</v>
      </c>
      <c r="E532" s="84"/>
      <c r="F532" s="89" t="str">
        <f>IF(H531="","-",H531)</f>
        <v>-</v>
      </c>
      <c r="H532" s="90" t="str">
        <f>IF(Jog!$G34="","",Jog!$G34)</f>
        <v>noch leer</v>
      </c>
      <c r="I532" s="86" t="str">
        <f>IF(B532="-","",IF(H532=D532,"Richtig!",IF(AND(D532&lt;&gt;H532,F532=H532),"Formel: OK",IF(H532="","Fehlt","Falsch"))))</f>
        <v>Falsch</v>
      </c>
      <c r="J532" s="30" t="str">
        <f t="shared" si="53"/>
        <v>-</v>
      </c>
      <c r="K532" s="23">
        <f t="shared" si="51"/>
      </c>
      <c r="L532" s="24">
        <f t="shared" si="52"/>
      </c>
      <c r="M532" s="1"/>
      <c r="N532" s="841"/>
    </row>
    <row r="533" spans="1:14" s="79" customFormat="1" ht="15" hidden="1">
      <c r="A533" s="77"/>
      <c r="B533" s="91" t="str">
        <f>Jog!B34&amp;" "&amp;Jog!$H$19</f>
        <v>Summe Arbeitskosten pro Stk.</v>
      </c>
      <c r="C533" s="77"/>
      <c r="D533" s="88">
        <f>IF('[2]E-Jog'!$H34="","",'[2]E-Jog'!$H34)</f>
        <v>0.6</v>
      </c>
      <c r="E533" s="84"/>
      <c r="F533" s="89" t="str">
        <f>IF(OR(H532="",$H$507=""),"-",H532/$H$507)</f>
        <v>-</v>
      </c>
      <c r="H533" s="90" t="str">
        <f>IF(Jog!$H34="","",Jog!$H34)</f>
        <v>noch leer</v>
      </c>
      <c r="I533" s="86" t="str">
        <f>IF(B533="-","",IF(H533=D533,"Richtig!",IF(AND(D533&lt;&gt;H533,F533=H533),"Formel: OK",IF(H533="","Fehlt","Falsch"))))</f>
        <v>Falsch</v>
      </c>
      <c r="J533" s="30" t="str">
        <f t="shared" si="53"/>
        <v>-</v>
      </c>
      <c r="K533" s="23">
        <f t="shared" si="51"/>
      </c>
      <c r="L533" s="24">
        <f t="shared" si="52"/>
      </c>
      <c r="M533" s="1"/>
      <c r="N533" s="841"/>
    </row>
    <row r="534" spans="1:14" ht="12.75" hidden="1">
      <c r="A534" s="18"/>
      <c r="B534" s="18"/>
      <c r="C534" s="18"/>
      <c r="D534" s="19"/>
      <c r="H534" s="17"/>
      <c r="I534" s="21"/>
      <c r="J534" s="21"/>
      <c r="K534" s="23">
        <f t="shared" si="51"/>
      </c>
      <c r="L534" s="24">
        <f t="shared" si="52"/>
      </c>
      <c r="N534" s="842"/>
    </row>
    <row r="535" spans="1:14" ht="12.75" hidden="1">
      <c r="A535" s="17" t="s">
        <v>19</v>
      </c>
      <c r="B535" s="17" t="str">
        <f>Jog!B36</f>
        <v>Fixkosten</v>
      </c>
      <c r="C535" s="18"/>
      <c r="D535" s="19"/>
      <c r="H535" s="17"/>
      <c r="I535" s="21"/>
      <c r="J535" s="21"/>
      <c r="K535" s="23">
        <f t="shared" si="51"/>
      </c>
      <c r="L535" s="24">
        <f t="shared" si="52"/>
      </c>
      <c r="N535" s="839"/>
    </row>
    <row r="536" spans="2:14" s="79" customFormat="1" ht="15" hidden="1">
      <c r="B536" s="87" t="str">
        <f>IF(Jog!B37="","-",Jog!B37&amp;" "&amp;Jog!$F$5)</f>
        <v>Pasteur </v>
      </c>
      <c r="C536" s="77"/>
      <c r="D536" s="83">
        <f>IF('[2]E-Jog'!$G37="","",'[2]E-Jog'!$G37)</f>
        <v>15.76923076923077</v>
      </c>
      <c r="E536" s="84"/>
      <c r="F536" s="84"/>
      <c r="H536" s="85">
        <f>IF(Jog!$G37="","",Jog!$G37)</f>
        <v>15.76923076923077</v>
      </c>
      <c r="I536" s="86" t="str">
        <f>IF(B536="-","",IF(H536=D536,"Richtig!",IF(H536="","Fehlt","Falsch")))</f>
        <v>Richtig!</v>
      </c>
      <c r="J536" s="30" t="str">
        <f t="shared" si="53"/>
        <v>-</v>
      </c>
      <c r="K536" s="23">
        <f t="shared" si="51"/>
      </c>
      <c r="L536" s="24">
        <f t="shared" si="52"/>
      </c>
      <c r="M536" s="1"/>
      <c r="N536" s="841"/>
    </row>
    <row r="537" spans="2:14" s="79" customFormat="1" ht="15" hidden="1">
      <c r="B537" s="87" t="str">
        <f>IF(Jog!B38="","-",Jog!B38&amp;" "&amp;Jog!$F$5)</f>
        <v>Kühlschrank </v>
      </c>
      <c r="C537" s="77"/>
      <c r="D537" s="83">
        <f>IF('[2]E-Jog'!$G38="","",'[2]E-Jog'!$G38)</f>
        <v>4.615384615384615</v>
      </c>
      <c r="E537" s="84"/>
      <c r="F537" s="84"/>
      <c r="H537" s="85">
        <f>IF(Jog!$G38="","",Jog!$G38)</f>
        <v>4.615384615384615</v>
      </c>
      <c r="I537" s="86" t="str">
        <f>IF(B537="-","",IF(H537=D537,"Richtig!",IF(H537="","Fehlt","Falsch")))</f>
        <v>Richtig!</v>
      </c>
      <c r="J537" s="30" t="str">
        <f t="shared" si="53"/>
        <v>-</v>
      </c>
      <c r="K537" s="23">
        <f t="shared" si="51"/>
      </c>
      <c r="L537" s="24">
        <f t="shared" si="52"/>
      </c>
      <c r="M537" s="1"/>
      <c r="N537" s="841"/>
    </row>
    <row r="538" spans="2:14" s="79" customFormat="1" ht="15" hidden="1">
      <c r="B538" s="87" t="str">
        <f>IF(Jog!B39="","-",Jog!B39&amp;" "&amp;Jog!$F$5)</f>
        <v>Geschirrspüler </v>
      </c>
      <c r="C538" s="77"/>
      <c r="D538" s="83">
        <f>IF('[2]E-Jog'!$G39="","",'[2]E-Jog'!$G39)</f>
        <v>5.576923076923077</v>
      </c>
      <c r="E538" s="84"/>
      <c r="F538" s="84"/>
      <c r="H538" s="85">
        <f>IF(Jog!$G39="","",Jog!$G39)</f>
        <v>5.576923076923077</v>
      </c>
      <c r="I538" s="86" t="str">
        <f>IF(B538="-","",IF(H538=D538,"Richtig!",IF(H538="","Fehlt","Falsch")))</f>
        <v>Richtig!</v>
      </c>
      <c r="J538" s="30" t="str">
        <f t="shared" si="53"/>
        <v>-</v>
      </c>
      <c r="K538" s="23">
        <f t="shared" si="51"/>
      </c>
      <c r="L538" s="24">
        <f t="shared" si="52"/>
      </c>
      <c r="M538" s="1"/>
      <c r="N538" s="841"/>
    </row>
    <row r="539" spans="1:14" s="79" customFormat="1" ht="15" hidden="1">
      <c r="A539" s="77"/>
      <c r="B539" s="91" t="str">
        <f>IF(Jog!B40="","-",Jog!B40&amp;" "&amp;Jog!$F$5)</f>
        <v>Summe Fixkosten </v>
      </c>
      <c r="C539" s="77"/>
      <c r="D539" s="88">
        <f>IF('[2]E-Jog'!$G40="","",'[2]E-Jog'!$G40)</f>
        <v>25.961538461538463</v>
      </c>
      <c r="E539" s="84"/>
      <c r="F539" s="89">
        <f>IF(AND(H536="",H537="",H538=""),"-",SUM(H536:H538))</f>
        <v>25.961538461538463</v>
      </c>
      <c r="H539" s="90">
        <f>IF(Jog!$G40="","",Jog!$G40)</f>
        <v>25.961538461538463</v>
      </c>
      <c r="I539" s="86" t="str">
        <f>IF(B539="-","",IF(H539=D539,"Richtig!",IF(AND(D539&lt;&gt;H539,F539=H539),"Formel: OK",IF(H539="","Fehlt","Falsch"))))</f>
        <v>Richtig!</v>
      </c>
      <c r="J539" s="30" t="str">
        <f t="shared" si="53"/>
        <v>-</v>
      </c>
      <c r="K539" s="23">
        <f t="shared" si="51"/>
      </c>
      <c r="L539" s="24">
        <f t="shared" si="52"/>
      </c>
      <c r="M539" s="1"/>
      <c r="N539" s="841"/>
    </row>
    <row r="540" spans="1:14" s="79" customFormat="1" ht="15" hidden="1">
      <c r="A540" s="77"/>
      <c r="B540" s="91" t="str">
        <f>IF(Jog!B40="","-",Jog!B40&amp;" "&amp;Jog!$H$19)</f>
        <v>Summe Fixkosten pro Stk.</v>
      </c>
      <c r="C540" s="77"/>
      <c r="D540" s="88">
        <f>IF('[2]E-Jog'!$H40="","",'[2]E-Jog'!$H40)</f>
        <v>0.12980769230769232</v>
      </c>
      <c r="E540" s="84"/>
      <c r="F540" s="89" t="str">
        <f>IF(OR(H539="",$H$507=""),"-",H539/$H$507)</f>
        <v>-</v>
      </c>
      <c r="H540" s="90" t="str">
        <f>IF(Jog!$H40="","",Jog!$H40)</f>
        <v>noch leer</v>
      </c>
      <c r="I540" s="86" t="str">
        <f>IF(B540="-","",IF(H540=D540,"Richtig!",IF(AND(D540&lt;&gt;H540,F540=H540),"Formel: OK",IF(H540="","Fehlt","Falsch"))))</f>
        <v>Falsch</v>
      </c>
      <c r="J540" s="30" t="str">
        <f t="shared" si="53"/>
        <v>-</v>
      </c>
      <c r="K540" s="23">
        <f t="shared" si="51"/>
      </c>
      <c r="L540" s="24">
        <f t="shared" si="52"/>
      </c>
      <c r="M540" s="1"/>
      <c r="N540" s="841"/>
    </row>
    <row r="541" spans="1:14" s="79" customFormat="1" ht="15">
      <c r="A541" s="77"/>
      <c r="B541" s="91" t="str">
        <f>IF(Jog!B41="","-",Jog!B41&amp;" "&amp;Jog!$F$5)</f>
        <v>Herstellungskosten </v>
      </c>
      <c r="C541" s="77"/>
      <c r="D541" s="88">
        <f>IF('[2]E-Jog'!$G41="","",'[2]E-Jog'!$G41)</f>
        <v>298.46153846153845</v>
      </c>
      <c r="E541" s="84"/>
      <c r="F541" s="89">
        <f>IF(AND(H514="",H527="",H532="",H539=""),"-",SUM(H514,H527,H532,H539))</f>
        <v>25.961538461538463</v>
      </c>
      <c r="H541" s="90">
        <f>IF(Jog!$G41="","",Jog!$G41)</f>
      </c>
      <c r="I541" s="86" t="str">
        <f>IF(B541="-","",IF(H541=D541,"Richtig!",IF(AND(D541&lt;&gt;H541,F541=H541),"Formel: OK",IF(H541="","Fehlt","Falsch"))))</f>
        <v>Fehlt</v>
      </c>
      <c r="J541" s="30">
        <f t="shared" si="53"/>
        <v>0</v>
      </c>
      <c r="K541" s="23" t="str">
        <f t="shared" si="51"/>
        <v>│</v>
      </c>
      <c r="L541" s="24">
        <f t="shared" si="52"/>
        <v>1</v>
      </c>
      <c r="M541" s="1"/>
      <c r="N541" s="841" t="str">
        <f>IF($L$1="","",$L$1)</f>
        <v>x</v>
      </c>
    </row>
    <row r="542" spans="1:14" s="79" customFormat="1" ht="15" hidden="1">
      <c r="A542" s="77"/>
      <c r="B542" s="91" t="str">
        <f>IF(Jog!B41="","-",Jog!B41&amp;" "&amp;Jog!$H$19)</f>
        <v>Herstellungskosten pro Stk.</v>
      </c>
      <c r="C542" s="77"/>
      <c r="D542" s="88">
        <f>IF('[2]E-Jog'!$H41="","",'[2]E-Jog'!$H41)</f>
        <v>1.4923076923076923</v>
      </c>
      <c r="E542" s="84"/>
      <c r="F542" s="89" t="str">
        <f>IF(OR(H541="",$H$507=""),"-",H541/$H$507)</f>
        <v>-</v>
      </c>
      <c r="H542" s="90" t="str">
        <f>IF(Jog!$H41="","",Jog!$H41)</f>
        <v>noch leer</v>
      </c>
      <c r="I542" s="86" t="str">
        <f>IF(B542="-","",IF(H542=D542,"Richtig!",IF(AND(D542&lt;&gt;H542,F542=H542),"Formel: OK",IF(H542="","Fehlt","Falsch"))))</f>
        <v>Falsch</v>
      </c>
      <c r="J542" s="30" t="str">
        <f t="shared" si="53"/>
        <v>-</v>
      </c>
      <c r="K542" s="23">
        <f t="shared" si="51"/>
      </c>
      <c r="L542" s="24">
        <f t="shared" si="52"/>
      </c>
      <c r="M542" s="1"/>
      <c r="N542" s="841"/>
    </row>
    <row r="543" spans="1:14" ht="12.75" hidden="1">
      <c r="A543" s="18"/>
      <c r="B543" s="18"/>
      <c r="C543" s="18"/>
      <c r="D543" s="19"/>
      <c r="H543" s="17"/>
      <c r="I543" s="21"/>
      <c r="J543" s="21"/>
      <c r="K543" s="23">
        <f t="shared" si="51"/>
      </c>
      <c r="L543" s="24">
        <f t="shared" si="52"/>
      </c>
      <c r="N543" s="842"/>
    </row>
    <row r="544" spans="1:14" ht="12.75" hidden="1">
      <c r="A544" s="17" t="s">
        <v>23</v>
      </c>
      <c r="B544" s="17" t="str">
        <f>Jog!B43</f>
        <v>Gemein- und Vermarktungskosten</v>
      </c>
      <c r="C544" s="18"/>
      <c r="D544" s="19"/>
      <c r="H544" s="17"/>
      <c r="I544" s="21"/>
      <c r="J544" s="21"/>
      <c r="K544" s="23">
        <f t="shared" si="51"/>
      </c>
      <c r="L544" s="24">
        <f t="shared" si="52"/>
      </c>
      <c r="N544" s="839"/>
    </row>
    <row r="545" spans="1:14" s="79" customFormat="1" ht="15" hidden="1">
      <c r="A545" s="77"/>
      <c r="B545" s="87" t="str">
        <f>IF(Jog!B44="","-",Jog!B44&amp;" "&amp;Jog!$F$5)</f>
        <v>Gemein- und Vermarktungskostenzuschlag </v>
      </c>
      <c r="C545" s="77"/>
      <c r="D545" s="88">
        <f>IF('[2]E-Jog'!$G44="","",'[2]E-Jog'!$G44)</f>
        <v>5.969230769230769</v>
      </c>
      <c r="E545" s="84"/>
      <c r="F545" s="89" t="str">
        <f>IF(OR(H541="",Jog!E44=""),"-",H541*Jog!E44)</f>
        <v>-</v>
      </c>
      <c r="H545" s="90" t="str">
        <f>IF(Jog!$G44="","",Jog!$G44)</f>
        <v>noch leer</v>
      </c>
      <c r="I545" s="86" t="str">
        <f aca="true" t="shared" si="56" ref="I545:I550">IF(B545="-","",IF(H545=D545,"Richtig!",IF(AND(D545&lt;&gt;H545,F545=H545),"Formel: OK",IF(H545="","Fehlt","Falsch"))))</f>
        <v>Falsch</v>
      </c>
      <c r="J545" s="30" t="str">
        <f t="shared" si="53"/>
        <v>-</v>
      </c>
      <c r="K545" s="23">
        <f t="shared" si="51"/>
      </c>
      <c r="L545" s="24">
        <f t="shared" si="52"/>
      </c>
      <c r="M545" s="1"/>
      <c r="N545" s="841"/>
    </row>
    <row r="546" spans="1:14" s="79" customFormat="1" ht="15" hidden="1">
      <c r="A546" s="77"/>
      <c r="B546" s="87" t="str">
        <f>IF(Jog!B45="","-",Jog!B45&amp;" "&amp;Jog!$F$5)</f>
        <v>Vollkosten </v>
      </c>
      <c r="C546" s="77"/>
      <c r="D546" s="88">
        <f>IF('[2]E-Jog'!$G45="","",'[2]E-Jog'!$G45)</f>
        <v>304.4307692307692</v>
      </c>
      <c r="E546" s="84"/>
      <c r="F546" s="89">
        <f>IF(AND(H541="",H545=""),"-",SUM(H541,H545))</f>
        <v>0</v>
      </c>
      <c r="H546" s="90" t="str">
        <f>IF(Jog!$G45="","",Jog!$G45)</f>
        <v>noch leer</v>
      </c>
      <c r="I546" s="86" t="str">
        <f t="shared" si="56"/>
        <v>Falsch</v>
      </c>
      <c r="J546" s="30" t="str">
        <f t="shared" si="53"/>
        <v>-</v>
      </c>
      <c r="K546" s="23">
        <f t="shared" si="51"/>
      </c>
      <c r="L546" s="24">
        <f t="shared" si="52"/>
      </c>
      <c r="M546" s="1"/>
      <c r="N546" s="841"/>
    </row>
    <row r="547" spans="1:14" s="79" customFormat="1" ht="15" hidden="1">
      <c r="A547" s="77"/>
      <c r="B547" s="87" t="str">
        <f>IF(Jog!B45="","-",Jog!B45&amp;" "&amp;Jog!$H$19)</f>
        <v>Vollkosten pro Stk.</v>
      </c>
      <c r="C547" s="77"/>
      <c r="D547" s="88">
        <f>IF('[2]E-Jog'!$H45="","",'[2]E-Jog'!$H45)</f>
        <v>1.522153846153846</v>
      </c>
      <c r="E547" s="84"/>
      <c r="F547" s="89" t="str">
        <f>IF(OR(H546="",H546="noch leer",$H$507=""),"-",H546/$H$507)</f>
        <v>-</v>
      </c>
      <c r="H547" s="90" t="str">
        <f>IF(Jog!$H45="","",Jog!$H45)</f>
        <v>noch leer</v>
      </c>
      <c r="I547" s="86" t="str">
        <f t="shared" si="56"/>
        <v>Falsch</v>
      </c>
      <c r="J547" s="30" t="str">
        <f t="shared" si="53"/>
        <v>-</v>
      </c>
      <c r="K547" s="23">
        <f t="shared" si="51"/>
      </c>
      <c r="L547" s="24">
        <f t="shared" si="52"/>
      </c>
      <c r="M547" s="1"/>
      <c r="N547" s="841"/>
    </row>
    <row r="548" spans="1:14" s="79" customFormat="1" ht="15" hidden="1">
      <c r="A548" s="77"/>
      <c r="B548" s="87" t="str">
        <f>IF(Jog!B46="","-",Jog!B46&amp;" "&amp;Jog!$F$5)</f>
        <v>Gewinn- und Risikozuschlag </v>
      </c>
      <c r="D548" s="88">
        <f>IF('[2]E-Jog'!$G46="","",'[2]E-Jog'!$G46)</f>
        <v>9.132923076923076</v>
      </c>
      <c r="E548" s="84"/>
      <c r="F548" s="89" t="str">
        <f>IF(OR(H546="",H546="noch leer",Jog!E46=""),"-",H546*Jog!E46)</f>
        <v>-</v>
      </c>
      <c r="H548" s="90" t="str">
        <f>IF(Jog!$G46="","",Jog!$G46)</f>
        <v>noch leer</v>
      </c>
      <c r="I548" s="86" t="str">
        <f t="shared" si="56"/>
        <v>Falsch</v>
      </c>
      <c r="J548" s="30" t="str">
        <f t="shared" si="53"/>
        <v>-</v>
      </c>
      <c r="K548" s="23">
        <f t="shared" si="51"/>
      </c>
      <c r="L548" s="24">
        <f t="shared" si="52"/>
      </c>
      <c r="M548" s="1"/>
      <c r="N548" s="841"/>
    </row>
    <row r="549" spans="1:14" s="79" customFormat="1" ht="15" hidden="1">
      <c r="A549" s="77"/>
      <c r="B549" s="91" t="str">
        <f>IF(Jog!B47="","-",Jog!B47&amp;" "&amp;Jog!$F$5)</f>
        <v>Preisuntergrenze </v>
      </c>
      <c r="C549" s="77"/>
      <c r="D549" s="88">
        <f>IF('[2]E-Jog'!$G47="","",'[2]E-Jog'!$G47)</f>
        <v>313.5636923076923</v>
      </c>
      <c r="E549" s="84"/>
      <c r="F549" s="89">
        <f>IF(AND(H546="",H548=""),"-",SUM(H546,H548))</f>
        <v>0</v>
      </c>
      <c r="H549" s="90" t="str">
        <f>IF(Jog!$G47="","",Jog!$G47)</f>
        <v>noch leer</v>
      </c>
      <c r="I549" s="86" t="str">
        <f t="shared" si="56"/>
        <v>Falsch</v>
      </c>
      <c r="J549" s="30" t="str">
        <f t="shared" si="53"/>
        <v>-</v>
      </c>
      <c r="K549" s="23">
        <f t="shared" si="51"/>
      </c>
      <c r="L549" s="24">
        <f t="shared" si="52"/>
      </c>
      <c r="M549" s="1"/>
      <c r="N549" s="841"/>
    </row>
    <row r="550" spans="1:14" s="79" customFormat="1" ht="15">
      <c r="A550" s="77"/>
      <c r="B550" s="91" t="str">
        <f>IF(Jog!B47="","-",Jog!B47&amp;" "&amp;Jog!$H$19)</f>
        <v>Preisuntergrenze pro Stk.</v>
      </c>
      <c r="C550" s="77"/>
      <c r="D550" s="88">
        <f>IF('[2]E-Jog'!$H47="","",'[2]E-Jog'!$H47)</f>
        <v>1.5678184615384614</v>
      </c>
      <c r="E550" s="84"/>
      <c r="F550" s="89" t="str">
        <f>IF(OR(H549="",H549="noch leer",$H$507="noch leer",$H$507=""),"-",H549/$H$507)</f>
        <v>-</v>
      </c>
      <c r="H550" s="90">
        <f>IF(Jog!$H47="","",Jog!$H47)</f>
      </c>
      <c r="I550" s="86" t="str">
        <f t="shared" si="56"/>
        <v>Fehlt</v>
      </c>
      <c r="J550" s="30">
        <f t="shared" si="53"/>
        <v>0</v>
      </c>
      <c r="K550" s="23" t="str">
        <f t="shared" si="51"/>
        <v>│</v>
      </c>
      <c r="L550" s="24">
        <f t="shared" si="52"/>
        <v>1</v>
      </c>
      <c r="M550" s="1"/>
      <c r="N550" s="841" t="str">
        <f aca="true" t="shared" si="57" ref="N550:N555">IF($L$1="","",$L$1)</f>
        <v>x</v>
      </c>
    </row>
    <row r="551" spans="1:14" s="79" customFormat="1" ht="15">
      <c r="A551" s="77"/>
      <c r="C551" s="77"/>
      <c r="D551" s="78"/>
      <c r="H551" s="80"/>
      <c r="I551" s="81"/>
      <c r="J551" s="81"/>
      <c r="K551" s="23">
        <f t="shared" si="51"/>
      </c>
      <c r="L551" s="24">
        <f t="shared" si="52"/>
      </c>
      <c r="M551" s="1"/>
      <c r="N551" s="842" t="str">
        <f t="shared" si="57"/>
        <v>x</v>
      </c>
    </row>
    <row r="552" spans="1:14" ht="22.5">
      <c r="A552" s="10" t="s">
        <v>64</v>
      </c>
      <c r="B552" s="11"/>
      <c r="C552" s="12"/>
      <c r="D552" s="13" t="s">
        <v>4</v>
      </c>
      <c r="E552" s="13"/>
      <c r="F552" s="14" t="s">
        <v>5</v>
      </c>
      <c r="G552" s="12"/>
      <c r="H552" s="14" t="s">
        <v>6</v>
      </c>
      <c r="I552" s="15" t="str">
        <f>"Fehler"</f>
        <v>Fehler</v>
      </c>
      <c r="J552" s="16" t="s">
        <v>7</v>
      </c>
      <c r="K552" s="16"/>
      <c r="L552" s="16"/>
      <c r="N552" s="840" t="str">
        <f t="shared" si="57"/>
        <v>x</v>
      </c>
    </row>
    <row r="553" spans="2:14" ht="12.75" customHeight="1">
      <c r="B553" s="92" t="str">
        <f>IF('FK'!B18="","-",'FK'!B18)</f>
        <v>Summe Fixkosten</v>
      </c>
      <c r="C553" s="93"/>
      <c r="D553" s="26">
        <f>IF('[2]E-FK'!D18="","",'[2]E-FK'!D18)</f>
        <v>-9136.240476190476</v>
      </c>
      <c r="E553" s="27"/>
      <c r="F553" s="32">
        <f>IF(AND('FK'!D4="",'FK'!D5="",'FK'!D6="",'FK'!D7="",'FK'!D8="",'FK'!D9="",'FK'!D10="",'FK'!D11="",'FK'!D12="",'FK'!D13="",'FK'!D14="",'FK'!D15="",'FK'!D16="",'FK'!D17=""),"",SUM('FK'!D4:D17))</f>
        <v>-1668</v>
      </c>
      <c r="H553" s="94">
        <f>IF('FK'!D18="","",'FK'!D18)</f>
      </c>
      <c r="I553" s="29" t="str">
        <f>IF(B553="","",IF(H553=D553,"Richtig!",IF(AND(D553&lt;&gt;H553,F553=H553),"Formel: OK",IF(H553="","Fehlt","Falsch"))))</f>
        <v>Fehlt</v>
      </c>
      <c r="J553" s="30">
        <f t="shared" si="53"/>
        <v>0</v>
      </c>
      <c r="K553" s="23" t="str">
        <f t="shared" si="51"/>
        <v>│</v>
      </c>
      <c r="L553" s="24">
        <f t="shared" si="52"/>
        <v>1</v>
      </c>
      <c r="N553" s="841" t="str">
        <f t="shared" si="57"/>
        <v>x</v>
      </c>
    </row>
    <row r="554" spans="1:14" ht="12.75" customHeight="1">
      <c r="A554" s="18"/>
      <c r="B554" s="18"/>
      <c r="C554" s="18"/>
      <c r="D554" s="19"/>
      <c r="H554" s="20"/>
      <c r="I554" s="21"/>
      <c r="J554" s="21"/>
      <c r="K554" s="23">
        <f aca="true" t="shared" si="58" ref="K554:K618">IF(L554="","","│")</f>
      </c>
      <c r="L554" s="24">
        <f t="shared" si="52"/>
      </c>
      <c r="N554" s="842" t="str">
        <f t="shared" si="57"/>
        <v>x</v>
      </c>
    </row>
    <row r="555" spans="1:14" ht="22.5">
      <c r="A555" s="10" t="s">
        <v>80</v>
      </c>
      <c r="B555" s="11"/>
      <c r="C555" s="12"/>
      <c r="D555" s="13" t="s">
        <v>4</v>
      </c>
      <c r="E555" s="13"/>
      <c r="F555" s="14" t="s">
        <v>5</v>
      </c>
      <c r="G555" s="12"/>
      <c r="H555" s="14" t="s">
        <v>6</v>
      </c>
      <c r="I555" s="15" t="str">
        <f>"Fehler"</f>
        <v>Fehler</v>
      </c>
      <c r="J555" s="16" t="s">
        <v>7</v>
      </c>
      <c r="K555" s="16"/>
      <c r="L555" s="16"/>
      <c r="N555" s="840" t="str">
        <f t="shared" si="57"/>
        <v>x</v>
      </c>
    </row>
    <row r="556" spans="1:12" ht="12.75" customHeight="1" hidden="1">
      <c r="A556" s="17" t="s">
        <v>9</v>
      </c>
      <c r="B556" s="17" t="s">
        <v>81</v>
      </c>
      <c r="C556" s="18"/>
      <c r="D556" s="19"/>
      <c r="H556" s="5"/>
      <c r="I556" s="21"/>
      <c r="J556" s="21"/>
      <c r="K556" s="23">
        <f t="shared" si="58"/>
      </c>
      <c r="L556" s="24">
        <f t="shared" si="52"/>
      </c>
    </row>
    <row r="557" spans="2:12" ht="12.75" customHeight="1" hidden="1">
      <c r="B557" s="95" t="str">
        <f>IF('[2]E-AV'!B6="","-",'[2]E-AV'!B6)</f>
        <v>Grundverbesserungen</v>
      </c>
      <c r="C557" s="42"/>
      <c r="D557" s="19"/>
      <c r="H557" s="5"/>
      <c r="I557" s="29">
        <f>IF(OR(B557="-",AND(D557="",H557="")),"",IF(H557=D557,"Richtig!",IF(H557="","Fehlt","Falsch")))</f>
      </c>
      <c r="J557" s="29"/>
      <c r="K557" s="23">
        <f t="shared" si="58"/>
      </c>
      <c r="L557" s="24">
        <f t="shared" si="52"/>
      </c>
    </row>
    <row r="558" spans="2:14" ht="12.75" customHeight="1" hidden="1">
      <c r="B558" s="3" t="str">
        <f>IF('[2]E-AV'!B7="","-",'[2]E-AV'!B7)</f>
        <v>Maulwurfsdrainage</v>
      </c>
      <c r="C558" s="93" t="str">
        <f>MID($B$556,1,4)&amp;". "&amp;MID($B$556,11,9)&amp;"."</f>
        <v>Bish. Nutzungsd.</v>
      </c>
      <c r="D558" s="26">
        <f>IF('[2]E-AV'!$G7="","",'[2]E-AV'!$G7)</f>
        <v>23</v>
      </c>
      <c r="E558" s="27"/>
      <c r="F558" s="27"/>
      <c r="H558" s="96">
        <f>IF('AV'!$G7="","",'AV'!$G7)</f>
        <v>23</v>
      </c>
      <c r="I558" s="29" t="str">
        <f>IF(OR(B558="-",AND(D558="",H558="")),"",IF(H558=D558,"Richtig!",IF(H558="","Fehlt","Falsch")))</f>
        <v>Richtig!</v>
      </c>
      <c r="J558" s="30" t="str">
        <f aca="true" t="shared" si="59" ref="J558:J621">IF(OR(B558="-",N558="",AND(D558="",H558="")),"-",IF(I558="Richtig!",1,IF(I558="Formel: OK",0.5,IF(OR(I558="Falsch",I558="Fehlt"),0,""))))</f>
        <v>-</v>
      </c>
      <c r="K558" s="23">
        <f t="shared" si="58"/>
      </c>
      <c r="L558" s="24">
        <f aca="true" t="shared" si="60" ref="L558:L621">IF(OR(B558="-",N558="",AND(D558="",H558="")),"",1)</f>
      </c>
      <c r="N558" s="841"/>
    </row>
    <row r="559" spans="1:14" ht="12.75" hidden="1">
      <c r="A559" s="18"/>
      <c r="B559" s="3" t="str">
        <f>IF('[2]E-AV'!B8="","-",'[2]E-AV'!B8)</f>
        <v>-</v>
      </c>
      <c r="C559" s="93" t="str">
        <f>MID($B$556,1,4)&amp;". "&amp;MID($B$556,11,9)&amp;"."</f>
        <v>Bish. Nutzungsd.</v>
      </c>
      <c r="D559" s="26">
        <f>IF('[2]E-AV'!$G8="","",'[2]E-AV'!$G8)</f>
      </c>
      <c r="E559" s="27"/>
      <c r="F559" s="27"/>
      <c r="H559" s="96">
        <f>IF('AV'!$G8="","",'AV'!$G8)</f>
      </c>
      <c r="I559" s="29">
        <f>IF(OR(B559="-",AND(D559="",H559="")),"",IF(H559=D559,"Richtig!",IF(H559="","Fehlt","Falsch")))</f>
      </c>
      <c r="J559" s="30" t="str">
        <f t="shared" si="59"/>
        <v>-</v>
      </c>
      <c r="K559" s="23">
        <f t="shared" si="58"/>
      </c>
      <c r="L559" s="24">
        <f t="shared" si="60"/>
      </c>
      <c r="N559" s="841"/>
    </row>
    <row r="560" spans="1:12" ht="12.75" hidden="1">
      <c r="A560" s="18"/>
      <c r="B560" s="95" t="str">
        <f>IF('[2]E-AV'!B10="","-",'[2]E-AV'!B10)</f>
        <v>Gebäude und bauliche Anlagen</v>
      </c>
      <c r="C560" s="93"/>
      <c r="D560" s="19"/>
      <c r="H560" s="5"/>
      <c r="I560" s="29"/>
      <c r="J560" s="29"/>
      <c r="K560" s="23">
        <f t="shared" si="58"/>
      </c>
      <c r="L560" s="24">
        <f t="shared" si="60"/>
      </c>
    </row>
    <row r="561" spans="1:14" ht="12.75" hidden="1">
      <c r="A561" s="18"/>
      <c r="B561" s="3" t="str">
        <f>IF('[2]E-AV'!B11="","-",'[2]E-AV'!B11)</f>
        <v>Rinderstall (Warmstall)</v>
      </c>
      <c r="C561" s="93" t="str">
        <f aca="true" t="shared" si="61" ref="C561:C568">MID($B$556,1,4)&amp;". "&amp;MID($B$556,11,9)&amp;"."</f>
        <v>Bish. Nutzungsd.</v>
      </c>
      <c r="D561" s="26">
        <f>IF('[2]E-AV'!$G11="","",'[2]E-AV'!$G11)</f>
        <v>11</v>
      </c>
      <c r="E561" s="27"/>
      <c r="F561" s="27"/>
      <c r="H561" s="96">
        <f>IF('AV'!$G11="","",'AV'!$G11)</f>
        <v>11</v>
      </c>
      <c r="I561" s="29" t="str">
        <f aca="true" t="shared" si="62" ref="I561:I568">IF(OR(B561="-",AND(D561="",H561="")),"",IF(H561=D561,"Richtig!",IF(H561="","Fehlt","Falsch")))</f>
        <v>Richtig!</v>
      </c>
      <c r="J561" s="30" t="str">
        <f t="shared" si="59"/>
        <v>-</v>
      </c>
      <c r="K561" s="23">
        <f t="shared" si="58"/>
      </c>
      <c r="L561" s="24">
        <f t="shared" si="60"/>
      </c>
      <c r="N561" s="841"/>
    </row>
    <row r="562" spans="1:14" ht="12.75" hidden="1">
      <c r="A562" s="18"/>
      <c r="B562" s="3" t="str">
        <f>IF('[2]E-AV'!B12="","-",'[2]E-AV'!B12)</f>
        <v>Schweinestall</v>
      </c>
      <c r="C562" s="93" t="str">
        <f t="shared" si="61"/>
        <v>Bish. Nutzungsd.</v>
      </c>
      <c r="D562" s="26">
        <f>IF('[2]E-AV'!$G12="","",'[2]E-AV'!$G12)</f>
        <v>25</v>
      </c>
      <c r="E562" s="27"/>
      <c r="F562" s="27"/>
      <c r="H562" s="96">
        <f>IF('AV'!$G12="","",'AV'!$G12)</f>
        <v>25</v>
      </c>
      <c r="I562" s="29" t="str">
        <f t="shared" si="62"/>
        <v>Richtig!</v>
      </c>
      <c r="J562" s="30" t="str">
        <f t="shared" si="59"/>
        <v>-</v>
      </c>
      <c r="K562" s="23">
        <f t="shared" si="58"/>
      </c>
      <c r="L562" s="24">
        <f t="shared" si="60"/>
      </c>
      <c r="N562" s="841"/>
    </row>
    <row r="563" spans="1:14" ht="12.75" hidden="1">
      <c r="A563" s="18"/>
      <c r="B563" s="3" t="str">
        <f>IF('[2]E-AV'!B13="","-",'[2]E-AV'!B13)</f>
        <v>Milchverarbeitungsraum</v>
      </c>
      <c r="C563" s="93" t="str">
        <f t="shared" si="61"/>
        <v>Bish. Nutzungsd.</v>
      </c>
      <c r="D563" s="26">
        <f>IF('[2]E-AV'!$G13="","",'[2]E-AV'!$G13)</f>
        <v>8</v>
      </c>
      <c r="E563" s="27"/>
      <c r="F563" s="27"/>
      <c r="H563" s="96">
        <f>IF('AV'!$G13="","",'AV'!$G13)</f>
        <v>8</v>
      </c>
      <c r="I563" s="29" t="str">
        <f t="shared" si="62"/>
        <v>Richtig!</v>
      </c>
      <c r="J563" s="30" t="str">
        <f t="shared" si="59"/>
        <v>-</v>
      </c>
      <c r="K563" s="23">
        <f t="shared" si="58"/>
      </c>
      <c r="L563" s="24">
        <f t="shared" si="60"/>
      </c>
      <c r="N563" s="841"/>
    </row>
    <row r="564" spans="1:14" ht="12.75" hidden="1">
      <c r="A564" s="18"/>
      <c r="B564" s="3" t="str">
        <f>IF('[2]E-AV'!B14="","-",'[2]E-AV'!B14)</f>
        <v>Maschinenschuppen</v>
      </c>
      <c r="C564" s="93" t="str">
        <f t="shared" si="61"/>
        <v>Bish. Nutzungsd.</v>
      </c>
      <c r="D564" s="26">
        <f>IF('[2]E-AV'!$G14="","",'[2]E-AV'!$G14)</f>
        <v>37</v>
      </c>
      <c r="E564" s="27"/>
      <c r="F564" s="27"/>
      <c r="H564" s="96">
        <f>IF('AV'!$G14="","",'AV'!$G14)</f>
        <v>37</v>
      </c>
      <c r="I564" s="29" t="str">
        <f t="shared" si="62"/>
        <v>Richtig!</v>
      </c>
      <c r="J564" s="30" t="str">
        <f t="shared" si="59"/>
        <v>-</v>
      </c>
      <c r="K564" s="23">
        <f t="shared" si="58"/>
      </c>
      <c r="L564" s="24">
        <f t="shared" si="60"/>
      </c>
      <c r="N564" s="841"/>
    </row>
    <row r="565" spans="1:14" ht="12.75" hidden="1">
      <c r="A565" s="18"/>
      <c r="B565" s="3" t="str">
        <f>IF('[2]E-AV'!B15="","-",'[2]E-AV'!B15)</f>
        <v>Garage mit Lagerraum</v>
      </c>
      <c r="C565" s="93" t="str">
        <f t="shared" si="61"/>
        <v>Bish. Nutzungsd.</v>
      </c>
      <c r="D565" s="26">
        <f>IF('[2]E-AV'!$G15="","",'[2]E-AV'!$G15)</f>
        <v>8</v>
      </c>
      <c r="E565" s="27"/>
      <c r="F565" s="27"/>
      <c r="H565" s="96">
        <f>IF('AV'!$G15="","",'AV'!$G15)</f>
        <v>8</v>
      </c>
      <c r="I565" s="29" t="str">
        <f t="shared" si="62"/>
        <v>Richtig!</v>
      </c>
      <c r="J565" s="30" t="str">
        <f t="shared" si="59"/>
        <v>-</v>
      </c>
      <c r="K565" s="23">
        <f t="shared" si="58"/>
      </c>
      <c r="L565" s="24">
        <f t="shared" si="60"/>
      </c>
      <c r="N565" s="841"/>
    </row>
    <row r="566" spans="1:14" ht="12.75" hidden="1">
      <c r="A566" s="18"/>
      <c r="B566" s="3" t="str">
        <f>IF('[2]E-AV'!B16="","-",'[2]E-AV'!B16)</f>
        <v>-</v>
      </c>
      <c r="C566" s="93" t="str">
        <f t="shared" si="61"/>
        <v>Bish. Nutzungsd.</v>
      </c>
      <c r="D566" s="26">
        <f>IF('[2]E-AV'!$G16="","",'[2]E-AV'!$G16)</f>
      </c>
      <c r="E566" s="27"/>
      <c r="F566" s="27"/>
      <c r="H566" s="96">
        <f>IF('AV'!$G16="","",'AV'!$G16)</f>
      </c>
      <c r="I566" s="29">
        <f t="shared" si="62"/>
      </c>
      <c r="J566" s="30" t="str">
        <f t="shared" si="59"/>
        <v>-</v>
      </c>
      <c r="K566" s="23">
        <f t="shared" si="58"/>
      </c>
      <c r="L566" s="24">
        <f t="shared" si="60"/>
      </c>
      <c r="N566" s="841"/>
    </row>
    <row r="567" spans="1:14" ht="12.75" hidden="1">
      <c r="A567" s="18"/>
      <c r="B567" s="3" t="str">
        <f>IF('[2]E-AV'!B17="","-",'[2]E-AV'!B17)</f>
        <v>-</v>
      </c>
      <c r="C567" s="93" t="str">
        <f t="shared" si="61"/>
        <v>Bish. Nutzungsd.</v>
      </c>
      <c r="D567" s="26">
        <f>IF('[2]E-AV'!$G17="","",'[2]E-AV'!$G17)</f>
      </c>
      <c r="E567" s="27"/>
      <c r="F567" s="27"/>
      <c r="H567" s="96">
        <f>IF('AV'!$G17="","",'AV'!$G17)</f>
      </c>
      <c r="I567" s="29">
        <f t="shared" si="62"/>
      </c>
      <c r="J567" s="30" t="str">
        <f t="shared" si="59"/>
        <v>-</v>
      </c>
      <c r="K567" s="23">
        <f t="shared" si="58"/>
      </c>
      <c r="L567" s="24">
        <f t="shared" si="60"/>
      </c>
      <c r="N567" s="841"/>
    </row>
    <row r="568" spans="1:14" ht="12.75" hidden="1">
      <c r="A568" s="18"/>
      <c r="B568" s="3" t="str">
        <f>IF('[2]E-AV'!B18="","-",'[2]E-AV'!B18)</f>
        <v>-</v>
      </c>
      <c r="C568" s="93" t="str">
        <f t="shared" si="61"/>
        <v>Bish. Nutzungsd.</v>
      </c>
      <c r="D568" s="26">
        <f>IF('[2]E-AV'!$G18="","",'[2]E-AV'!$G18)</f>
      </c>
      <c r="E568" s="27"/>
      <c r="F568" s="27"/>
      <c r="H568" s="96">
        <f>IF('AV'!$G18="","",'AV'!$G18)</f>
      </c>
      <c r="I568" s="29">
        <f t="shared" si="62"/>
      </c>
      <c r="J568" s="30" t="str">
        <f t="shared" si="59"/>
        <v>-</v>
      </c>
      <c r="K568" s="23">
        <f t="shared" si="58"/>
      </c>
      <c r="L568" s="24">
        <f t="shared" si="60"/>
      </c>
      <c r="N568" s="841"/>
    </row>
    <row r="569" spans="1:12" ht="12.75" hidden="1">
      <c r="A569" s="18"/>
      <c r="B569" s="95" t="str">
        <f>IF('[2]E-AV'!B20="","-",'[2]E-AV'!B20)</f>
        <v>Maschinen und Geräte</v>
      </c>
      <c r="C569" s="93"/>
      <c r="D569" s="19">
        <f>IF('[2]E-AV'!$G20="","",'[2]E-AV'!$G20)</f>
      </c>
      <c r="H569" s="5">
        <f>IF('AV'!$G20="","",'AV'!$G20)</f>
      </c>
      <c r="I569" s="29"/>
      <c r="J569" s="29"/>
      <c r="K569" s="23">
        <f t="shared" si="58"/>
      </c>
      <c r="L569" s="24">
        <f t="shared" si="60"/>
      </c>
    </row>
    <row r="570" spans="1:14" ht="12.75" hidden="1">
      <c r="A570" s="18"/>
      <c r="B570" s="3" t="str">
        <f>IF('[2]E-AV'!B21="","-",'[2]E-AV'!B21)</f>
        <v>Standardtraktor</v>
      </c>
      <c r="C570" s="93" t="str">
        <f aca="true" t="shared" si="63" ref="C570:C589">MID($B$556,1,4)&amp;". "&amp;MID($B$556,11,9)&amp;"."</f>
        <v>Bish. Nutzungsd.</v>
      </c>
      <c r="D570" s="26">
        <f>IF('[2]E-AV'!$G21="","",'[2]E-AV'!$G21)</f>
        <v>13</v>
      </c>
      <c r="E570" s="27"/>
      <c r="F570" s="27"/>
      <c r="H570" s="96">
        <f>IF('AV'!$G21="","",'AV'!$G21)</f>
        <v>13</v>
      </c>
      <c r="I570" s="29" t="str">
        <f aca="true" t="shared" si="64" ref="I570:I591">IF(OR(B570="-",AND(D570="",H570="")),"",IF(H570=D570,"Richtig!",IF(H570="","Fehlt","Falsch")))</f>
        <v>Richtig!</v>
      </c>
      <c r="J570" s="30" t="str">
        <f t="shared" si="59"/>
        <v>-</v>
      </c>
      <c r="K570" s="23">
        <f t="shared" si="58"/>
      </c>
      <c r="L570" s="24">
        <f t="shared" si="60"/>
      </c>
      <c r="N570" s="841"/>
    </row>
    <row r="571" spans="1:14" ht="12.75" hidden="1">
      <c r="A571" s="18"/>
      <c r="B571" s="3" t="str">
        <f>IF('[2]E-AV'!B22="","-",'[2]E-AV'!B22)</f>
        <v>-</v>
      </c>
      <c r="C571" s="93" t="str">
        <f t="shared" si="63"/>
        <v>Bish. Nutzungsd.</v>
      </c>
      <c r="D571" s="26">
        <f>IF('[2]E-AV'!$G22="","",'[2]E-AV'!$G22)</f>
      </c>
      <c r="E571" s="27"/>
      <c r="F571" s="27"/>
      <c r="H571" s="96">
        <f>IF('AV'!$G22="","",'AV'!$G22)</f>
      </c>
      <c r="I571" s="29">
        <f t="shared" si="64"/>
      </c>
      <c r="J571" s="30" t="str">
        <f t="shared" si="59"/>
        <v>-</v>
      </c>
      <c r="K571" s="23">
        <f t="shared" si="58"/>
      </c>
      <c r="L571" s="24">
        <f t="shared" si="60"/>
      </c>
      <c r="N571" s="841"/>
    </row>
    <row r="572" spans="1:14" ht="12.75" hidden="1">
      <c r="A572" s="18"/>
      <c r="B572" s="3" t="str">
        <f>IF('[2]E-AV'!B23="","-",'[2]E-AV'!B23)</f>
        <v>-</v>
      </c>
      <c r="C572" s="93" t="str">
        <f t="shared" si="63"/>
        <v>Bish. Nutzungsd.</v>
      </c>
      <c r="D572" s="26">
        <f>IF('[2]E-AV'!$G23="","",'[2]E-AV'!$G23)</f>
      </c>
      <c r="E572" s="27"/>
      <c r="F572" s="27"/>
      <c r="H572" s="96">
        <f>IF('AV'!$G23="","",'AV'!$G23)</f>
      </c>
      <c r="I572" s="29">
        <f t="shared" si="64"/>
      </c>
      <c r="J572" s="30" t="str">
        <f t="shared" si="59"/>
        <v>-</v>
      </c>
      <c r="K572" s="23">
        <f t="shared" si="58"/>
      </c>
      <c r="L572" s="24">
        <f t="shared" si="60"/>
      </c>
      <c r="N572" s="841"/>
    </row>
    <row r="573" spans="1:14" ht="12.75" hidden="1">
      <c r="A573" s="18"/>
      <c r="B573" s="3" t="str">
        <f>IF('[2]E-AV'!B24="","-",'[2]E-AV'!B24)</f>
        <v>Motormäher</v>
      </c>
      <c r="C573" s="93" t="str">
        <f t="shared" si="63"/>
        <v>Bish. Nutzungsd.</v>
      </c>
      <c r="D573" s="26">
        <f>IF('[2]E-AV'!$G24="","",'[2]E-AV'!$G24)</f>
        <v>15</v>
      </c>
      <c r="E573" s="27"/>
      <c r="F573" s="27"/>
      <c r="H573" s="96">
        <f>IF('AV'!$G24="","",'AV'!$G24)</f>
        <v>15</v>
      </c>
      <c r="I573" s="29" t="str">
        <f t="shared" si="64"/>
        <v>Richtig!</v>
      </c>
      <c r="J573" s="30" t="str">
        <f t="shared" si="59"/>
        <v>-</v>
      </c>
      <c r="K573" s="23">
        <f t="shared" si="58"/>
      </c>
      <c r="L573" s="24">
        <f t="shared" si="60"/>
      </c>
      <c r="N573" s="841"/>
    </row>
    <row r="574" spans="1:14" ht="12.75" hidden="1">
      <c r="A574" s="18"/>
      <c r="B574" s="3" t="str">
        <f>IF('[2]E-AV'!B25="","-",'[2]E-AV'!B25)</f>
        <v>Ladewagen</v>
      </c>
      <c r="C574" s="93" t="str">
        <f t="shared" si="63"/>
        <v>Bish. Nutzungsd.</v>
      </c>
      <c r="D574" s="26">
        <f>IF('[2]E-AV'!$G25="","",'[2]E-AV'!$G25)</f>
        <v>15</v>
      </c>
      <c r="E574" s="27"/>
      <c r="F574" s="27"/>
      <c r="H574" s="96">
        <f>IF('AV'!$G25="","",'AV'!$G25)</f>
        <v>15</v>
      </c>
      <c r="I574" s="29" t="str">
        <f t="shared" si="64"/>
        <v>Richtig!</v>
      </c>
      <c r="J574" s="30" t="str">
        <f t="shared" si="59"/>
        <v>-</v>
      </c>
      <c r="K574" s="23">
        <f t="shared" si="58"/>
      </c>
      <c r="L574" s="24">
        <f t="shared" si="60"/>
      </c>
      <c r="N574" s="841"/>
    </row>
    <row r="575" spans="1:14" ht="12.75" hidden="1">
      <c r="A575" s="18"/>
      <c r="B575" s="3" t="str">
        <f>IF('[2]E-AV'!B26="","-",'[2]E-AV'!B26)</f>
        <v>Miststreuer</v>
      </c>
      <c r="C575" s="93" t="str">
        <f t="shared" si="63"/>
        <v>Bish. Nutzungsd.</v>
      </c>
      <c r="D575" s="26">
        <f>IF('[2]E-AV'!$G26="","",'[2]E-AV'!$G26)</f>
        <v>20</v>
      </c>
      <c r="E575" s="27"/>
      <c r="F575" s="27"/>
      <c r="H575" s="96">
        <f>IF('AV'!$G26="","",'AV'!$G26)</f>
        <v>20</v>
      </c>
      <c r="I575" s="29" t="str">
        <f t="shared" si="64"/>
        <v>Richtig!</v>
      </c>
      <c r="J575" s="30" t="str">
        <f t="shared" si="59"/>
        <v>-</v>
      </c>
      <c r="K575" s="23">
        <f t="shared" si="58"/>
      </c>
      <c r="L575" s="24">
        <f t="shared" si="60"/>
      </c>
      <c r="N575" s="841"/>
    </row>
    <row r="576" spans="1:14" ht="12.75" hidden="1">
      <c r="A576" s="18"/>
      <c r="B576" s="3" t="str">
        <f>IF('[2]E-AV'!B27="","-",'[2]E-AV'!B27)</f>
        <v>Mähwerk</v>
      </c>
      <c r="C576" s="93" t="str">
        <f t="shared" si="63"/>
        <v>Bish. Nutzungsd.</v>
      </c>
      <c r="D576" s="26">
        <f>IF('[2]E-AV'!$G27="","",'[2]E-AV'!$G27)</f>
        <v>9</v>
      </c>
      <c r="E576" s="27"/>
      <c r="F576" s="27"/>
      <c r="H576" s="96">
        <f>IF('AV'!$G27="","",'AV'!$G27)</f>
        <v>9</v>
      </c>
      <c r="I576" s="29" t="str">
        <f t="shared" si="64"/>
        <v>Richtig!</v>
      </c>
      <c r="J576" s="30" t="str">
        <f t="shared" si="59"/>
        <v>-</v>
      </c>
      <c r="K576" s="23">
        <f t="shared" si="58"/>
      </c>
      <c r="L576" s="24">
        <f t="shared" si="60"/>
      </c>
      <c r="N576" s="841"/>
    </row>
    <row r="577" spans="1:14" ht="12.75" hidden="1">
      <c r="A577" s="18"/>
      <c r="B577" s="3" t="str">
        <f>IF('[2]E-AV'!B28="","-",'[2]E-AV'!B28)</f>
        <v>Kreiselzetter</v>
      </c>
      <c r="C577" s="93" t="str">
        <f t="shared" si="63"/>
        <v>Bish. Nutzungsd.</v>
      </c>
      <c r="D577" s="26">
        <f>IF('[2]E-AV'!$G28="","",'[2]E-AV'!$G28)</f>
        <v>16</v>
      </c>
      <c r="E577" s="27"/>
      <c r="F577" s="27"/>
      <c r="H577" s="96">
        <f>IF('AV'!$G28="","",'AV'!$G28)</f>
        <v>16</v>
      </c>
      <c r="I577" s="29" t="str">
        <f t="shared" si="64"/>
        <v>Richtig!</v>
      </c>
      <c r="J577" s="30" t="str">
        <f t="shared" si="59"/>
        <v>-</v>
      </c>
      <c r="K577" s="23">
        <f t="shared" si="58"/>
      </c>
      <c r="L577" s="24">
        <f t="shared" si="60"/>
      </c>
      <c r="N577" s="841"/>
    </row>
    <row r="578" spans="1:14" ht="12.75" hidden="1">
      <c r="A578" s="18"/>
      <c r="B578" s="3" t="str">
        <f>IF('[2]E-AV'!B29="","-",'[2]E-AV'!B29)</f>
        <v>Heuraupe</v>
      </c>
      <c r="C578" s="93" t="str">
        <f t="shared" si="63"/>
        <v>Bish. Nutzungsd.</v>
      </c>
      <c r="D578" s="26">
        <f>IF('[2]E-AV'!$G29="","",'[2]E-AV'!$G29)</f>
        <v>13</v>
      </c>
      <c r="E578" s="27"/>
      <c r="F578" s="27"/>
      <c r="H578" s="96">
        <f>IF('AV'!$G29="","",'AV'!$G29)</f>
        <v>13</v>
      </c>
      <c r="I578" s="29" t="str">
        <f t="shared" si="64"/>
        <v>Richtig!</v>
      </c>
      <c r="J578" s="30" t="str">
        <f t="shared" si="59"/>
        <v>-</v>
      </c>
      <c r="K578" s="23">
        <f t="shared" si="58"/>
      </c>
      <c r="L578" s="24">
        <f t="shared" si="60"/>
      </c>
      <c r="N578" s="841"/>
    </row>
    <row r="579" spans="1:14" ht="12.75" hidden="1">
      <c r="A579" s="18"/>
      <c r="B579" s="3" t="str">
        <f>IF('[2]E-AV'!B30="","-",'[2]E-AV'!B30)</f>
        <v>Pflug</v>
      </c>
      <c r="C579" s="93" t="str">
        <f t="shared" si="63"/>
        <v>Bish. Nutzungsd.</v>
      </c>
      <c r="D579" s="26">
        <f>IF('[2]E-AV'!$G30="","",'[2]E-AV'!$G30)</f>
        <v>10</v>
      </c>
      <c r="E579" s="27"/>
      <c r="F579" s="27"/>
      <c r="H579" s="96">
        <f>IF('AV'!$G30="","",'AV'!$G30)</f>
        <v>10</v>
      </c>
      <c r="I579" s="29" t="str">
        <f t="shared" si="64"/>
        <v>Richtig!</v>
      </c>
      <c r="J579" s="30" t="str">
        <f t="shared" si="59"/>
        <v>-</v>
      </c>
      <c r="K579" s="23">
        <f t="shared" si="58"/>
      </c>
      <c r="L579" s="24">
        <f t="shared" si="60"/>
      </c>
      <c r="N579" s="841"/>
    </row>
    <row r="580" spans="1:14" ht="12.75" hidden="1">
      <c r="A580" s="18"/>
      <c r="B580" s="3" t="str">
        <f>IF('[2]E-AV'!B31="","-",'[2]E-AV'!B31)</f>
        <v>Vakuumfass</v>
      </c>
      <c r="C580" s="93" t="str">
        <f t="shared" si="63"/>
        <v>Bish. Nutzungsd.</v>
      </c>
      <c r="D580" s="26">
        <f>IF('[2]E-AV'!$G31="","",'[2]E-AV'!$G31)</f>
        <v>27</v>
      </c>
      <c r="E580" s="27"/>
      <c r="F580" s="27"/>
      <c r="H580" s="96">
        <f>IF('AV'!$G31="","",'AV'!$G31)</f>
        <v>27</v>
      </c>
      <c r="I580" s="29" t="str">
        <f t="shared" si="64"/>
        <v>Richtig!</v>
      </c>
      <c r="J580" s="30" t="str">
        <f t="shared" si="59"/>
        <v>-</v>
      </c>
      <c r="K580" s="23">
        <f t="shared" si="58"/>
      </c>
      <c r="L580" s="24">
        <f t="shared" si="60"/>
      </c>
      <c r="N580" s="841"/>
    </row>
    <row r="581" spans="1:14" ht="12.75" hidden="1">
      <c r="A581" s="18"/>
      <c r="B581" s="3" t="str">
        <f>IF('[2]E-AV'!B32="","-",'[2]E-AV'!B32)</f>
        <v>Gebläse</v>
      </c>
      <c r="C581" s="93" t="str">
        <f t="shared" si="63"/>
        <v>Bish. Nutzungsd.</v>
      </c>
      <c r="D581" s="26">
        <f>IF('[2]E-AV'!$G32="","",'[2]E-AV'!$G32)</f>
        <v>25</v>
      </c>
      <c r="E581" s="27"/>
      <c r="F581" s="27"/>
      <c r="H581" s="96">
        <f>IF('AV'!$G32="","",'AV'!$G32)</f>
        <v>25</v>
      </c>
      <c r="I581" s="29" t="str">
        <f t="shared" si="64"/>
        <v>Richtig!</v>
      </c>
      <c r="J581" s="30" t="str">
        <f t="shared" si="59"/>
        <v>-</v>
      </c>
      <c r="K581" s="23">
        <f t="shared" si="58"/>
      </c>
      <c r="L581" s="24">
        <f t="shared" si="60"/>
      </c>
      <c r="N581" s="841"/>
    </row>
    <row r="582" spans="1:14" ht="12.75" hidden="1">
      <c r="A582" s="18"/>
      <c r="B582" s="3" t="str">
        <f>IF('[2]E-AV'!B33="","-",'[2]E-AV'!B33)</f>
        <v>Butterfass</v>
      </c>
      <c r="C582" s="93" t="str">
        <f t="shared" si="63"/>
        <v>Bish. Nutzungsd.</v>
      </c>
      <c r="D582" s="26">
        <f>IF('[2]E-AV'!$G33="","",'[2]E-AV'!$G33)</f>
        <v>13</v>
      </c>
      <c r="E582" s="27"/>
      <c r="F582" s="27"/>
      <c r="H582" s="96">
        <f>IF('AV'!$G33="","",'AV'!$G33)</f>
        <v>13</v>
      </c>
      <c r="I582" s="29" t="str">
        <f t="shared" si="64"/>
        <v>Richtig!</v>
      </c>
      <c r="J582" s="30" t="str">
        <f t="shared" si="59"/>
        <v>-</v>
      </c>
      <c r="K582" s="23">
        <f t="shared" si="58"/>
      </c>
      <c r="L582" s="24">
        <f t="shared" si="60"/>
      </c>
      <c r="N582" s="841"/>
    </row>
    <row r="583" spans="1:14" ht="12.75" hidden="1">
      <c r="A583" s="18"/>
      <c r="B583" s="3" t="str">
        <f>IF('[2]E-AV'!B34="","-",'[2]E-AV'!B34)</f>
        <v>Zentrifuge</v>
      </c>
      <c r="C583" s="93" t="str">
        <f t="shared" si="63"/>
        <v>Bish. Nutzungsd.</v>
      </c>
      <c r="D583" s="26">
        <f>IF('[2]E-AV'!$G34="","",'[2]E-AV'!$G34)</f>
        <v>25</v>
      </c>
      <c r="E583" s="27"/>
      <c r="F583" s="27"/>
      <c r="H583" s="96">
        <f>IF('AV'!$G34="","",'AV'!$G34)</f>
        <v>25</v>
      </c>
      <c r="I583" s="29" t="str">
        <f t="shared" si="64"/>
        <v>Richtig!</v>
      </c>
      <c r="J583" s="30" t="str">
        <f t="shared" si="59"/>
        <v>-</v>
      </c>
      <c r="K583" s="23">
        <f t="shared" si="58"/>
      </c>
      <c r="L583" s="24">
        <f t="shared" si="60"/>
      </c>
      <c r="N583" s="841"/>
    </row>
    <row r="584" spans="1:14" ht="12.75" hidden="1">
      <c r="A584" s="18"/>
      <c r="B584" s="3" t="str">
        <f>IF('[2]E-AV'!B35="","-",'[2]E-AV'!B35)</f>
        <v>Melkmaschine</v>
      </c>
      <c r="C584" s="93" t="str">
        <f t="shared" si="63"/>
        <v>Bish. Nutzungsd.</v>
      </c>
      <c r="D584" s="26">
        <f>IF('[2]E-AV'!$G35="","",'[2]E-AV'!$G35)</f>
        <v>11</v>
      </c>
      <c r="E584" s="27"/>
      <c r="F584" s="27"/>
      <c r="H584" s="96">
        <f>IF('AV'!$G35="","",'AV'!$G35)</f>
        <v>11</v>
      </c>
      <c r="I584" s="29" t="str">
        <f t="shared" si="64"/>
        <v>Richtig!</v>
      </c>
      <c r="J584" s="30" t="str">
        <f t="shared" si="59"/>
        <v>-</v>
      </c>
      <c r="K584" s="23">
        <f t="shared" si="58"/>
      </c>
      <c r="L584" s="24">
        <f t="shared" si="60"/>
      </c>
      <c r="N584" s="841"/>
    </row>
    <row r="585" spans="1:14" ht="12.75" hidden="1">
      <c r="A585" s="18"/>
      <c r="B585" s="3" t="str">
        <f>IF('[2]E-AV'!B36="","-",'[2]E-AV'!B36)</f>
        <v>Motorsäge</v>
      </c>
      <c r="C585" s="93" t="str">
        <f t="shared" si="63"/>
        <v>Bish. Nutzungsd.</v>
      </c>
      <c r="D585" s="26">
        <f>IF('[2]E-AV'!$G36="","",'[2]E-AV'!$G36)</f>
        <v>13</v>
      </c>
      <c r="E585" s="27"/>
      <c r="F585" s="27"/>
      <c r="H585" s="96">
        <f>IF('AV'!$G36="","",'AV'!$G36)</f>
        <v>13</v>
      </c>
      <c r="I585" s="29" t="str">
        <f t="shared" si="64"/>
        <v>Richtig!</v>
      </c>
      <c r="J585" s="30" t="str">
        <f t="shared" si="59"/>
        <v>-</v>
      </c>
      <c r="K585" s="23">
        <f t="shared" si="58"/>
      </c>
      <c r="L585" s="24">
        <f t="shared" si="60"/>
      </c>
      <c r="N585" s="841"/>
    </row>
    <row r="586" spans="1:14" ht="12.75" hidden="1">
      <c r="A586" s="18"/>
      <c r="B586" s="3" t="str">
        <f>IF('[2]E-AV'!B37="","-",'[2]E-AV'!B37)</f>
        <v>PKW-Anhänger</v>
      </c>
      <c r="C586" s="93" t="str">
        <f t="shared" si="63"/>
        <v>Bish. Nutzungsd.</v>
      </c>
      <c r="D586" s="26">
        <f>IF('[2]E-AV'!$G37="","",'[2]E-AV'!$G37)</f>
        <v>9</v>
      </c>
      <c r="E586" s="27"/>
      <c r="F586" s="27"/>
      <c r="H586" s="96">
        <f>IF('AV'!$G37="","",'AV'!$G37)</f>
        <v>9</v>
      </c>
      <c r="I586" s="29" t="str">
        <f t="shared" si="64"/>
        <v>Richtig!</v>
      </c>
      <c r="J586" s="30" t="str">
        <f t="shared" si="59"/>
        <v>-</v>
      </c>
      <c r="K586" s="23">
        <f t="shared" si="58"/>
      </c>
      <c r="L586" s="24">
        <f t="shared" si="60"/>
      </c>
      <c r="N586" s="841"/>
    </row>
    <row r="587" spans="1:14" ht="12.75" hidden="1">
      <c r="A587" s="18"/>
      <c r="B587" s="3" t="str">
        <f>IF('[2]E-AV'!B38="","-",'[2]E-AV'!B38)</f>
        <v>Frontlader</v>
      </c>
      <c r="C587" s="93" t="str">
        <f t="shared" si="63"/>
        <v>Bish. Nutzungsd.</v>
      </c>
      <c r="D587" s="26">
        <f>IF('[2]E-AV'!$G38="","",'[2]E-AV'!$G38)</f>
        <v>29</v>
      </c>
      <c r="E587" s="27"/>
      <c r="F587" s="27"/>
      <c r="H587" s="96">
        <f>IF('AV'!$G38="","",'AV'!$G38)</f>
        <v>29</v>
      </c>
      <c r="I587" s="29" t="str">
        <f t="shared" si="64"/>
        <v>Richtig!</v>
      </c>
      <c r="J587" s="30" t="str">
        <f t="shared" si="59"/>
        <v>-</v>
      </c>
      <c r="K587" s="23">
        <f t="shared" si="58"/>
      </c>
      <c r="L587" s="24">
        <f t="shared" si="60"/>
      </c>
      <c r="N587" s="841"/>
    </row>
    <row r="588" spans="1:14" ht="12.75" hidden="1">
      <c r="A588" s="18"/>
      <c r="B588" s="3" t="str">
        <f>IF('[2]E-AV'!B39="","-",'[2]E-AV'!B39)</f>
        <v>Ackerschleppe</v>
      </c>
      <c r="C588" s="93" t="str">
        <f t="shared" si="63"/>
        <v>Bish. Nutzungsd.</v>
      </c>
      <c r="D588" s="26">
        <f>IF('[2]E-AV'!$G39="","",'[2]E-AV'!$G39)</f>
        <v>24</v>
      </c>
      <c r="E588" s="27"/>
      <c r="F588" s="27"/>
      <c r="H588" s="96">
        <f>IF('AV'!$G39="","",'AV'!$G39)</f>
        <v>24</v>
      </c>
      <c r="I588" s="29" t="str">
        <f t="shared" si="64"/>
        <v>Richtig!</v>
      </c>
      <c r="J588" s="30" t="str">
        <f t="shared" si="59"/>
        <v>-</v>
      </c>
      <c r="K588" s="23">
        <f t="shared" si="58"/>
      </c>
      <c r="L588" s="24">
        <f t="shared" si="60"/>
      </c>
      <c r="N588" s="841"/>
    </row>
    <row r="589" spans="1:14" ht="12.75" hidden="1">
      <c r="A589" s="18"/>
      <c r="B589" s="3" t="str">
        <f>IF('[2]E-AV'!B40="","-",'[2]E-AV'!B40)</f>
        <v>-</v>
      </c>
      <c r="C589" s="93" t="str">
        <f t="shared" si="63"/>
        <v>Bish. Nutzungsd.</v>
      </c>
      <c r="D589" s="26">
        <f>IF('[2]E-AV'!$G40="","",'[2]E-AV'!$G40)</f>
      </c>
      <c r="E589" s="27"/>
      <c r="F589" s="27"/>
      <c r="H589" s="96">
        <f>IF('AV'!$G40="","",'AV'!$G40)</f>
      </c>
      <c r="I589" s="29">
        <f t="shared" si="64"/>
      </c>
      <c r="J589" s="30" t="str">
        <f t="shared" si="59"/>
        <v>-</v>
      </c>
      <c r="K589" s="23">
        <f t="shared" si="58"/>
      </c>
      <c r="L589" s="24">
        <f t="shared" si="60"/>
      </c>
      <c r="N589" s="841"/>
    </row>
    <row r="590" spans="1:14" ht="12.75">
      <c r="A590" s="18"/>
      <c r="B590" s="18"/>
      <c r="C590" s="18"/>
      <c r="D590" s="19"/>
      <c r="H590" s="17"/>
      <c r="I590" s="21"/>
      <c r="J590" s="21"/>
      <c r="K590" s="23"/>
      <c r="L590" s="24">
        <f t="shared" si="60"/>
      </c>
      <c r="N590" s="842" t="str">
        <f>IF($L$1="","",$L$1)</f>
        <v>x</v>
      </c>
    </row>
    <row r="591" spans="1:14" ht="12.75">
      <c r="A591" s="17" t="s">
        <v>12</v>
      </c>
      <c r="B591" s="17" t="s">
        <v>82</v>
      </c>
      <c r="C591" s="18"/>
      <c r="D591" s="19">
        <f>IF('[2]E-AV'!$G42="","",'[2]E-AV'!$G42)</f>
      </c>
      <c r="H591" s="17">
        <f>IF('AV'!$G42="","",'AV'!$G42)</f>
      </c>
      <c r="I591" s="21">
        <f t="shared" si="64"/>
      </c>
      <c r="J591" s="21"/>
      <c r="K591" s="23">
        <f t="shared" si="58"/>
      </c>
      <c r="L591" s="24">
        <f t="shared" si="60"/>
      </c>
      <c r="N591" s="839" t="str">
        <f>IF($L$1="","",$L$1)</f>
        <v>x</v>
      </c>
    </row>
    <row r="592" spans="2:14" ht="12.75" customHeight="1">
      <c r="B592" s="95" t="str">
        <f>IF('[2]E-AV'!B6="","-",'[2]E-AV'!B6)</f>
        <v>Grundverbesserungen</v>
      </c>
      <c r="C592" s="42"/>
      <c r="D592" s="19"/>
      <c r="H592" s="17"/>
      <c r="I592" s="29"/>
      <c r="J592" s="29"/>
      <c r="K592" s="23">
        <f t="shared" si="58"/>
      </c>
      <c r="L592" s="24">
        <f t="shared" si="60"/>
      </c>
      <c r="N592" s="839" t="str">
        <f>IF($L$1="","",$L$1)</f>
        <v>x</v>
      </c>
    </row>
    <row r="593" spans="1:14" ht="12.75" hidden="1">
      <c r="A593" s="18"/>
      <c r="B593" s="36" t="str">
        <f>IF('[2]E-AV'!B7="","-",'[2]E-AV'!B7)</f>
        <v>Maulwurfsdrainage</v>
      </c>
      <c r="C593" s="93" t="str">
        <f>MID($B$591,1,5)&amp;". "&amp;MID($B$591,9,7)&amp;"."</f>
        <v>Zeitw.  1. Jän.</v>
      </c>
      <c r="D593" s="31">
        <f>IF('[2]E-AV'!$H7="","",'[2]E-AV'!$H7)</f>
        <v>1</v>
      </c>
      <c r="E593" s="27"/>
      <c r="F593" s="32">
        <f>IF(OR('AV'!I7="",'AV'!I7="noch leer",'AV'!G7="",'AV'!G7="noch leer"),"-",IF('AV'!I7=0,1,'AV'!E7-'AV'!I7*'AV'!G7))</f>
        <v>1</v>
      </c>
      <c r="H593" s="97">
        <f>IF('AV'!$H7="","",'AV'!$H7)</f>
        <v>1</v>
      </c>
      <c r="I593" s="29" t="str">
        <f>IF(B593="","",IF(H593=D593,"Richtig!",IF(AND(D593&lt;&gt;H593,F593=H593),"Formel: OK",IF(H593="","Fehlt","Falsch"))))</f>
        <v>Richtig!</v>
      </c>
      <c r="J593" s="30" t="str">
        <f t="shared" si="59"/>
        <v>-</v>
      </c>
      <c r="K593" s="23">
        <f t="shared" si="58"/>
      </c>
      <c r="L593" s="24">
        <f t="shared" si="60"/>
      </c>
      <c r="N593" s="841"/>
    </row>
    <row r="594" spans="1:14" ht="12.75" hidden="1">
      <c r="A594" s="18"/>
      <c r="B594" s="36" t="str">
        <f>IF('[2]E-AV'!B8="","-",'[2]E-AV'!B8)</f>
        <v>-</v>
      </c>
      <c r="C594" s="93" t="str">
        <f>MID($B$591,1,5)&amp;". "&amp;MID($B$591,9,7)&amp;"."</f>
        <v>Zeitw.  1. Jän.</v>
      </c>
      <c r="D594" s="31">
        <f>IF('[2]E-AV'!$H8="","",'[2]E-AV'!$H8)</f>
      </c>
      <c r="E594" s="27"/>
      <c r="F594" s="32" t="str">
        <f>IF(OR('AV'!I8="",'AV'!I8="noch leer",'AV'!G8="",'AV'!G8="noch leer"),"-",IF('AV'!I8=0,1,'AV'!E8-'AV'!I8*'AV'!G8))</f>
        <v>-</v>
      </c>
      <c r="H594" s="97">
        <f>IF('AV'!$H8="","",'AV'!$H8)</f>
      </c>
      <c r="I594" s="29" t="str">
        <f>IF(B594="","",IF(H594=D594,"Richtig!",IF(AND(D594&lt;&gt;H594,F594=H594),"Formel: OK",IF(H594="","Fehlt","Falsch"))))</f>
        <v>Richtig!</v>
      </c>
      <c r="J594" s="30" t="str">
        <f t="shared" si="59"/>
        <v>-</v>
      </c>
      <c r="K594" s="23">
        <f t="shared" si="58"/>
      </c>
      <c r="L594" s="24">
        <f t="shared" si="60"/>
      </c>
      <c r="N594" s="841"/>
    </row>
    <row r="595" spans="1:14" ht="12.75">
      <c r="A595" s="18"/>
      <c r="B595" s="92" t="str">
        <f>IF('[2]E-AV'!B9="","-",'[2]E-AV'!B9)</f>
        <v>Summe Grundverbesserungen</v>
      </c>
      <c r="C595" s="93" t="str">
        <f>MID($B$591,1,5)&amp;". "&amp;MID($B$591,9,7)&amp;"."</f>
        <v>Zeitw.  1. Jän.</v>
      </c>
      <c r="D595" s="31">
        <f>IF('[2]E-AV'!$H9="","",'[2]E-AV'!$H9)</f>
        <v>1</v>
      </c>
      <c r="E595" s="27"/>
      <c r="F595" s="32">
        <f>IF(AND(H593="",H594=""),"-",SUM(H593:H594))</f>
        <v>1</v>
      </c>
      <c r="H595" s="97">
        <f>IF('AV'!$H9="","",'AV'!$H9)</f>
      </c>
      <c r="I595" s="29" t="str">
        <f>IF(B595="","",IF(H595=D595,"Richtig!",IF(AND(D595&lt;&gt;H595,F595=H595),"Formel: OK",IF(H595="","Fehlt","Falsch"))))</f>
        <v>Fehlt</v>
      </c>
      <c r="J595" s="30">
        <f t="shared" si="59"/>
        <v>0</v>
      </c>
      <c r="K595" s="23" t="str">
        <f t="shared" si="58"/>
        <v>│</v>
      </c>
      <c r="L595" s="24">
        <f t="shared" si="60"/>
        <v>1</v>
      </c>
      <c r="N595" s="841" t="str">
        <f>IF($L$1="","",$L$1)</f>
        <v>x</v>
      </c>
    </row>
    <row r="596" spans="2:14" ht="12.75" customHeight="1">
      <c r="B596" s="95" t="str">
        <f>IF('[2]E-AV'!B10="","-",'[2]E-AV'!B10)</f>
        <v>Gebäude und bauliche Anlagen</v>
      </c>
      <c r="C596" s="93"/>
      <c r="D596" s="19"/>
      <c r="H596" s="17"/>
      <c r="I596" s="29"/>
      <c r="J596" s="29"/>
      <c r="K596" s="23">
        <f t="shared" si="58"/>
      </c>
      <c r="L596" s="24">
        <f t="shared" si="60"/>
      </c>
      <c r="N596" s="839" t="str">
        <f>IF($L$1="","",$L$1)</f>
        <v>x</v>
      </c>
    </row>
    <row r="597" spans="1:14" ht="12.75" hidden="1">
      <c r="A597" s="18"/>
      <c r="B597" s="36" t="str">
        <f>IF('[2]E-AV'!B11="","-",'[2]E-AV'!B11)</f>
        <v>Rinderstall (Warmstall)</v>
      </c>
      <c r="C597" s="93" t="str">
        <f aca="true" t="shared" si="65" ref="C597:C605">MID($B$591,1,5)&amp;". "&amp;MID($B$591,9,7)&amp;"."</f>
        <v>Zeitw.  1. Jän.</v>
      </c>
      <c r="D597" s="31">
        <f>IF('[2]E-AV'!$H11="","",'[2]E-AV'!$H11)</f>
        <v>114566.4</v>
      </c>
      <c r="E597" s="27"/>
      <c r="F597" s="32" t="str">
        <f>IF(OR('AV'!I11="",'AV'!I11="noch leer",'AV'!G11="",'AV'!G11="noch leer"),"-",IF('AV'!I11=0,1,'AV'!E11-'AV'!I11*'AV'!G11))</f>
        <v>-</v>
      </c>
      <c r="H597" s="97" t="str">
        <f>IF('AV'!$H11="","",'AV'!$H11)</f>
        <v>noch leer</v>
      </c>
      <c r="I597" s="29" t="str">
        <f aca="true" t="shared" si="66" ref="I597:I605">IF(B597="","",IF(H597=D597,"Richtig!",IF(AND(D597&lt;&gt;H597,F597=H597),"Formel: OK",IF(H597="","Fehlt","Falsch"))))</f>
        <v>Falsch</v>
      </c>
      <c r="J597" s="30" t="str">
        <f t="shared" si="59"/>
        <v>-</v>
      </c>
      <c r="K597" s="23">
        <f t="shared" si="58"/>
      </c>
      <c r="L597" s="24">
        <f t="shared" si="60"/>
      </c>
      <c r="N597" s="841"/>
    </row>
    <row r="598" spans="1:14" ht="12.75">
      <c r="A598" s="18"/>
      <c r="B598" s="36" t="str">
        <f>IF('[2]E-AV'!B12="","-",'[2]E-AV'!B12)</f>
        <v>Schweinestall</v>
      </c>
      <c r="C598" s="93" t="str">
        <f t="shared" si="65"/>
        <v>Zeitw.  1. Jän.</v>
      </c>
      <c r="D598" s="31">
        <f>IF('[2]E-AV'!$H12="","",'[2]E-AV'!$H12)</f>
        <v>13542.375</v>
      </c>
      <c r="E598" s="27"/>
      <c r="F598" s="32" t="str">
        <f>IF(OR('AV'!I12="",'AV'!I12="noch leer",'AV'!G12="",'AV'!G12="noch leer"),"-",IF('AV'!I12=0,1,'AV'!E12-'AV'!I12*'AV'!G12))</f>
        <v>-</v>
      </c>
      <c r="H598" s="97">
        <f>IF('AV'!$H12="","",'AV'!$H12)</f>
      </c>
      <c r="I598" s="29" t="str">
        <f t="shared" si="66"/>
        <v>Fehlt</v>
      </c>
      <c r="J598" s="30">
        <f t="shared" si="59"/>
        <v>0</v>
      </c>
      <c r="K598" s="23" t="str">
        <f t="shared" si="58"/>
        <v>│</v>
      </c>
      <c r="L598" s="24">
        <f t="shared" si="60"/>
        <v>1</v>
      </c>
      <c r="N598" s="841" t="str">
        <f>IF($L$1="","",$L$1)</f>
        <v>x</v>
      </c>
    </row>
    <row r="599" spans="1:14" ht="12.75" hidden="1">
      <c r="A599" s="18"/>
      <c r="B599" s="36" t="str">
        <f>IF('[2]E-AV'!B13="","-",'[2]E-AV'!B13)</f>
        <v>Milchverarbeitungsraum</v>
      </c>
      <c r="C599" s="93" t="str">
        <f t="shared" si="65"/>
        <v>Zeitw.  1. Jän.</v>
      </c>
      <c r="D599" s="31">
        <f>IF('[2]E-AV'!$H13="","",'[2]E-AV'!$H13)</f>
        <v>3839</v>
      </c>
      <c r="E599" s="27"/>
      <c r="F599" s="32">
        <f>IF(OR('AV'!I13="",'AV'!I13="noch leer",'AV'!G13="",'AV'!G13="noch leer"),"-",IF('AV'!I13=0,1,'AV'!E13-'AV'!I13*'AV'!G13))</f>
        <v>3839</v>
      </c>
      <c r="H599" s="97">
        <f>IF('AV'!$H13="","",'AV'!$H13)</f>
        <v>3839</v>
      </c>
      <c r="I599" s="29" t="str">
        <f t="shared" si="66"/>
        <v>Richtig!</v>
      </c>
      <c r="J599" s="30" t="str">
        <f t="shared" si="59"/>
        <v>-</v>
      </c>
      <c r="K599" s="23">
        <f t="shared" si="58"/>
      </c>
      <c r="L599" s="24">
        <f t="shared" si="60"/>
      </c>
      <c r="N599" s="841"/>
    </row>
    <row r="600" spans="1:14" ht="12.75" hidden="1">
      <c r="A600" s="18"/>
      <c r="B600" s="36" t="str">
        <f>IF('[2]E-AV'!B14="","-",'[2]E-AV'!B14)</f>
        <v>Maschinenschuppen</v>
      </c>
      <c r="C600" s="93" t="str">
        <f t="shared" si="65"/>
        <v>Zeitw.  1. Jän.</v>
      </c>
      <c r="D600" s="31">
        <f>IF('[2]E-AV'!$H14="","",'[2]E-AV'!$H14)</f>
        <v>339</v>
      </c>
      <c r="E600" s="27"/>
      <c r="F600" s="32">
        <f>IF(OR('AV'!I14="",'AV'!I14="noch leer",'AV'!G14="",'AV'!G14="noch leer"),"-",IF('AV'!I14=0,1,'AV'!E14-'AV'!I14*'AV'!G14))</f>
        <v>339</v>
      </c>
      <c r="H600" s="97">
        <f>IF('AV'!$H14="","",'AV'!$H14)</f>
        <v>339</v>
      </c>
      <c r="I600" s="29" t="str">
        <f t="shared" si="66"/>
        <v>Richtig!</v>
      </c>
      <c r="J600" s="30" t="str">
        <f t="shared" si="59"/>
        <v>-</v>
      </c>
      <c r="K600" s="23">
        <f t="shared" si="58"/>
      </c>
      <c r="L600" s="24">
        <f t="shared" si="60"/>
      </c>
      <c r="N600" s="841"/>
    </row>
    <row r="601" spans="1:14" ht="12.75" hidden="1">
      <c r="A601" s="18"/>
      <c r="B601" s="36" t="str">
        <f>IF('[2]E-AV'!B15="","-",'[2]E-AV'!B15)</f>
        <v>Garage mit Lagerraum</v>
      </c>
      <c r="C601" s="93" t="str">
        <f t="shared" si="65"/>
        <v>Zeitw.  1. Jän.</v>
      </c>
      <c r="D601" s="31">
        <f>IF('[2]E-AV'!$H15="","",'[2]E-AV'!$H15)</f>
        <v>13328</v>
      </c>
      <c r="E601" s="27"/>
      <c r="F601" s="32">
        <f>IF(OR('AV'!I15="",'AV'!I15="noch leer",'AV'!G15="",'AV'!G15="noch leer"),"-",IF('AV'!I15=0,1,'AV'!E15-'AV'!I15*'AV'!G15))</f>
        <v>13328</v>
      </c>
      <c r="H601" s="97">
        <f>IF('AV'!$H15="","",'AV'!$H15)</f>
        <v>13328</v>
      </c>
      <c r="I601" s="29" t="str">
        <f t="shared" si="66"/>
        <v>Richtig!</v>
      </c>
      <c r="J601" s="30" t="str">
        <f t="shared" si="59"/>
        <v>-</v>
      </c>
      <c r="K601" s="23">
        <f t="shared" si="58"/>
      </c>
      <c r="L601" s="24">
        <f t="shared" si="60"/>
      </c>
      <c r="N601" s="841"/>
    </row>
    <row r="602" spans="1:14" ht="12.75" hidden="1">
      <c r="A602" s="18"/>
      <c r="B602" s="36" t="str">
        <f>IF('[2]E-AV'!B16="","-",'[2]E-AV'!B16)</f>
        <v>-</v>
      </c>
      <c r="C602" s="93" t="str">
        <f t="shared" si="65"/>
        <v>Zeitw.  1. Jän.</v>
      </c>
      <c r="D602" s="31">
        <f>IF('[2]E-AV'!$H16="","",'[2]E-AV'!$H16)</f>
      </c>
      <c r="E602" s="27"/>
      <c r="F602" s="32" t="str">
        <f>IF(OR('AV'!I16="",'AV'!I16="noch leer",'AV'!G16="",'AV'!G16="noch leer"),"-",IF('AV'!I16=0,1,'AV'!E16-'AV'!I16*'AV'!G16))</f>
        <v>-</v>
      </c>
      <c r="H602" s="97">
        <f>IF('AV'!$H16="","",'AV'!$H16)</f>
      </c>
      <c r="I602" s="29" t="str">
        <f t="shared" si="66"/>
        <v>Richtig!</v>
      </c>
      <c r="J602" s="30" t="str">
        <f t="shared" si="59"/>
        <v>-</v>
      </c>
      <c r="K602" s="23">
        <f t="shared" si="58"/>
      </c>
      <c r="L602" s="24">
        <f t="shared" si="60"/>
      </c>
      <c r="N602" s="841"/>
    </row>
    <row r="603" spans="1:14" ht="12.75" hidden="1">
      <c r="A603" s="18"/>
      <c r="B603" s="36" t="str">
        <f>IF('[2]E-AV'!B17="","-",'[2]E-AV'!B17)</f>
        <v>-</v>
      </c>
      <c r="C603" s="93" t="str">
        <f t="shared" si="65"/>
        <v>Zeitw.  1. Jän.</v>
      </c>
      <c r="D603" s="31">
        <f>IF('[2]E-AV'!$H17="","",'[2]E-AV'!$H17)</f>
      </c>
      <c r="E603" s="27"/>
      <c r="F603" s="32" t="str">
        <f>IF(OR('AV'!I17="",'AV'!I17="noch leer",'AV'!G17="",'AV'!G17="noch leer"),"-",IF('AV'!I17=0,1,'AV'!E17-'AV'!I17*'AV'!G17))</f>
        <v>-</v>
      </c>
      <c r="H603" s="97">
        <f>IF('AV'!$H17="","",'AV'!$H17)</f>
      </c>
      <c r="I603" s="29" t="str">
        <f t="shared" si="66"/>
        <v>Richtig!</v>
      </c>
      <c r="J603" s="30" t="str">
        <f t="shared" si="59"/>
        <v>-</v>
      </c>
      <c r="K603" s="23">
        <f t="shared" si="58"/>
      </c>
      <c r="L603" s="24">
        <f t="shared" si="60"/>
      </c>
      <c r="N603" s="841"/>
    </row>
    <row r="604" spans="1:14" ht="12.75" hidden="1">
      <c r="A604" s="18"/>
      <c r="B604" s="36" t="str">
        <f>IF('[2]E-AV'!B18="","-",'[2]E-AV'!B18)</f>
        <v>-</v>
      </c>
      <c r="C604" s="93" t="str">
        <f t="shared" si="65"/>
        <v>Zeitw.  1. Jän.</v>
      </c>
      <c r="D604" s="31">
        <f>IF('[2]E-AV'!$H18="","",'[2]E-AV'!$H18)</f>
      </c>
      <c r="E604" s="27"/>
      <c r="F604" s="32" t="str">
        <f>IF(OR('AV'!I18="",'AV'!I18="noch leer",'AV'!G18="",'AV'!G18="noch leer"),"-",IF('AV'!I18=0,1,'AV'!E18-'AV'!I18*'AV'!G18))</f>
        <v>-</v>
      </c>
      <c r="H604" s="97">
        <f>IF('AV'!$H18="","",'AV'!$H18)</f>
      </c>
      <c r="I604" s="29" t="str">
        <f t="shared" si="66"/>
        <v>Richtig!</v>
      </c>
      <c r="J604" s="30" t="str">
        <f t="shared" si="59"/>
        <v>-</v>
      </c>
      <c r="K604" s="23">
        <f t="shared" si="58"/>
      </c>
      <c r="L604" s="24">
        <f t="shared" si="60"/>
      </c>
      <c r="N604" s="841"/>
    </row>
    <row r="605" spans="1:14" ht="12.75">
      <c r="A605" s="18"/>
      <c r="B605" s="92" t="str">
        <f>IF('[2]E-AV'!B19="","-",'[2]E-AV'!B19)</f>
        <v>Summe Gebäude und bauliche Anlagen</v>
      </c>
      <c r="C605" s="93" t="str">
        <f t="shared" si="65"/>
        <v>Zeitw.  1. Jän.</v>
      </c>
      <c r="D605" s="31">
        <f>IF('[2]E-AV'!$H19="","",'[2]E-AV'!$H19)</f>
        <v>145614.775</v>
      </c>
      <c r="E605" s="27"/>
      <c r="F605" s="32">
        <f>IF(AND(H597="",H598="",H599="",H600="",H601="",H602="",H603="",H604=""),"-",SUM(H597:H604))</f>
        <v>17506</v>
      </c>
      <c r="H605" s="97">
        <f>IF('AV'!$H19="","",'AV'!$H19)</f>
      </c>
      <c r="I605" s="29" t="str">
        <f t="shared" si="66"/>
        <v>Fehlt</v>
      </c>
      <c r="J605" s="30">
        <f t="shared" si="59"/>
        <v>0</v>
      </c>
      <c r="K605" s="23" t="str">
        <f t="shared" si="58"/>
        <v>│</v>
      </c>
      <c r="L605" s="24">
        <f t="shared" si="60"/>
        <v>1</v>
      </c>
      <c r="N605" s="841" t="str">
        <f>IF($L$1="","",$L$1)</f>
        <v>x</v>
      </c>
    </row>
    <row r="606" spans="2:14" ht="12.75" customHeight="1">
      <c r="B606" s="95" t="str">
        <f>IF('[2]E-AV'!B20="","-",'[2]E-AV'!B20)</f>
        <v>Maschinen und Geräte</v>
      </c>
      <c r="C606" s="93"/>
      <c r="D606" s="19"/>
      <c r="H606" s="17"/>
      <c r="I606" s="29"/>
      <c r="J606" s="29"/>
      <c r="K606" s="23">
        <f t="shared" si="58"/>
      </c>
      <c r="L606" s="24">
        <f t="shared" si="60"/>
      </c>
      <c r="N606" s="839" t="str">
        <f>IF($L$1="","",$L$1)</f>
        <v>x</v>
      </c>
    </row>
    <row r="607" spans="1:14" ht="12.75" customHeight="1" hidden="1">
      <c r="A607" s="18"/>
      <c r="B607" s="36" t="str">
        <f>IF('[2]E-AV'!B21="","-",'[2]E-AV'!B21)</f>
        <v>Standardtraktor</v>
      </c>
      <c r="C607" s="93" t="str">
        <f aca="true" t="shared" si="67" ref="C607:C627">MID($B$591,1,5)&amp;". "&amp;MID($B$591,9,7)&amp;"."</f>
        <v>Zeitw.  1. Jän.</v>
      </c>
      <c r="D607" s="31">
        <f>IF('[2]E-AV'!$H21="","",'[2]E-AV'!$H21)</f>
        <v>4959.375</v>
      </c>
      <c r="E607" s="27"/>
      <c r="F607" s="32" t="str">
        <f>IF(OR('AV'!I21="",'AV'!I21="noch leer",'AV'!G21="",'AV'!G21="noch leer"),"-",IF('AV'!I21=0,1,'AV'!E21-'AV'!I21*'AV'!G21))</f>
        <v>-</v>
      </c>
      <c r="H607" s="97" t="str">
        <f>IF('AV'!$H21="","",'AV'!$H21)</f>
        <v>noch leer</v>
      </c>
      <c r="I607" s="29" t="str">
        <f aca="true" t="shared" si="68" ref="I607:I627">IF(B607="","",IF(H607=D607,"Richtig!",IF(AND(D607&lt;&gt;H607,F607=H607),"Formel: OK",IF(H607="","Fehlt","Falsch"))))</f>
        <v>Falsch</v>
      </c>
      <c r="J607" s="30" t="str">
        <f t="shared" si="59"/>
        <v>-</v>
      </c>
      <c r="K607" s="23">
        <f t="shared" si="58"/>
      </c>
      <c r="L607" s="24">
        <f t="shared" si="60"/>
      </c>
      <c r="N607" s="841"/>
    </row>
    <row r="608" spans="1:14" ht="12.75" customHeight="1" hidden="1">
      <c r="A608" s="18"/>
      <c r="B608" s="36" t="str">
        <f>IF('[2]E-AV'!B22="","-",'[2]E-AV'!B22)</f>
        <v>-</v>
      </c>
      <c r="C608" s="93" t="str">
        <f t="shared" si="67"/>
        <v>Zeitw.  1. Jän.</v>
      </c>
      <c r="D608" s="31">
        <f>IF('[2]E-AV'!$H22="","",'[2]E-AV'!$H22)</f>
      </c>
      <c r="E608" s="27"/>
      <c r="F608" s="32" t="str">
        <f>IF(OR('AV'!I22="",'AV'!I22="noch leer",'AV'!G22="",'AV'!G22="noch leer"),"-",IF('AV'!I22=0,1,'AV'!E22-'AV'!I22*'AV'!G22))</f>
        <v>-</v>
      </c>
      <c r="H608" s="97">
        <f>IF('AV'!$H22="","",'AV'!$H22)</f>
      </c>
      <c r="I608" s="29" t="str">
        <f t="shared" si="68"/>
        <v>Richtig!</v>
      </c>
      <c r="J608" s="30" t="str">
        <f t="shared" si="59"/>
        <v>-</v>
      </c>
      <c r="K608" s="23">
        <f t="shared" si="58"/>
      </c>
      <c r="L608" s="24">
        <f t="shared" si="60"/>
      </c>
      <c r="N608" s="841"/>
    </row>
    <row r="609" spans="1:14" ht="12.75" customHeight="1" hidden="1">
      <c r="A609" s="18"/>
      <c r="B609" s="36" t="str">
        <f>IF('[2]E-AV'!B23="","-",'[2]E-AV'!B23)</f>
        <v>-</v>
      </c>
      <c r="C609" s="93" t="str">
        <f t="shared" si="67"/>
        <v>Zeitw.  1. Jän.</v>
      </c>
      <c r="D609" s="31">
        <f>IF('[2]E-AV'!$H23="","",'[2]E-AV'!$H23)</f>
      </c>
      <c r="E609" s="27"/>
      <c r="F609" s="32" t="str">
        <f>IF(OR('AV'!I23="",'AV'!I23="noch leer",'AV'!G23="",'AV'!G23="noch leer"),"-",IF('AV'!I23=0,1,'AV'!E23-'AV'!I23*'AV'!G23))</f>
        <v>-</v>
      </c>
      <c r="H609" s="97">
        <f>IF('AV'!$H23="","",'AV'!$H23)</f>
      </c>
      <c r="I609" s="29" t="str">
        <f t="shared" si="68"/>
        <v>Richtig!</v>
      </c>
      <c r="J609" s="30" t="str">
        <f t="shared" si="59"/>
        <v>-</v>
      </c>
      <c r="K609" s="23">
        <f t="shared" si="58"/>
      </c>
      <c r="L609" s="24">
        <f t="shared" si="60"/>
      </c>
      <c r="N609" s="841"/>
    </row>
    <row r="610" spans="1:14" ht="12.75" customHeight="1" hidden="1">
      <c r="A610" s="18"/>
      <c r="B610" s="36" t="str">
        <f>IF('[2]E-AV'!B24="","-",'[2]E-AV'!B24)</f>
        <v>Motormäher</v>
      </c>
      <c r="C610" s="93" t="str">
        <f t="shared" si="67"/>
        <v>Zeitw.  1. Jän.</v>
      </c>
      <c r="D610" s="31">
        <f>IF('[2]E-AV'!$H24="","",'[2]E-AV'!$H24)</f>
        <v>1</v>
      </c>
      <c r="E610" s="27"/>
      <c r="F610" s="32" t="str">
        <f>IF(OR('AV'!I24="",'AV'!I24="noch leer",'AV'!G24="",'AV'!G24="noch leer"),"-",IF('AV'!I24=0,1,'AV'!E24-'AV'!I24*'AV'!G24))</f>
        <v>-</v>
      </c>
      <c r="H610" s="97" t="str">
        <f>IF('AV'!$H24="","",'AV'!$H24)</f>
        <v>noch leer</v>
      </c>
      <c r="I610" s="29" t="str">
        <f t="shared" si="68"/>
        <v>Falsch</v>
      </c>
      <c r="J610" s="30" t="str">
        <f t="shared" si="59"/>
        <v>-</v>
      </c>
      <c r="K610" s="23">
        <f t="shared" si="58"/>
      </c>
      <c r="L610" s="24">
        <f t="shared" si="60"/>
      </c>
      <c r="N610" s="841"/>
    </row>
    <row r="611" spans="1:14" ht="12.75" customHeight="1" hidden="1">
      <c r="A611" s="18"/>
      <c r="B611" s="36" t="str">
        <f>IF('[2]E-AV'!B25="","-",'[2]E-AV'!B25)</f>
        <v>Ladewagen</v>
      </c>
      <c r="C611" s="93" t="str">
        <f t="shared" si="67"/>
        <v>Zeitw.  1. Jän.</v>
      </c>
      <c r="D611" s="31">
        <f>IF('[2]E-AV'!$H25="","",'[2]E-AV'!$H25)</f>
        <v>1</v>
      </c>
      <c r="E611" s="27"/>
      <c r="F611" s="32">
        <f>IF(OR('AV'!I25="",'AV'!I25="noch leer",'AV'!G25="",'AV'!G25="noch leer"),"-",IF('AV'!I25=0,1,'AV'!E25-'AV'!I25*'AV'!G25))</f>
        <v>1</v>
      </c>
      <c r="H611" s="97">
        <f>IF('AV'!$H25="","",'AV'!$H25)</f>
        <v>1</v>
      </c>
      <c r="I611" s="29" t="str">
        <f t="shared" si="68"/>
        <v>Richtig!</v>
      </c>
      <c r="J611" s="30" t="str">
        <f t="shared" si="59"/>
        <v>-</v>
      </c>
      <c r="K611" s="23">
        <f t="shared" si="58"/>
      </c>
      <c r="L611" s="24">
        <f t="shared" si="60"/>
      </c>
      <c r="N611" s="841"/>
    </row>
    <row r="612" spans="1:14" ht="12.75" customHeight="1" hidden="1">
      <c r="A612" s="18"/>
      <c r="B612" s="36" t="str">
        <f>IF('[2]E-AV'!B26="","-",'[2]E-AV'!B26)</f>
        <v>Miststreuer</v>
      </c>
      <c r="C612" s="93" t="str">
        <f t="shared" si="67"/>
        <v>Zeitw.  1. Jän.</v>
      </c>
      <c r="D612" s="31">
        <f>IF('[2]E-AV'!$H26="","",'[2]E-AV'!$H26)</f>
        <v>1</v>
      </c>
      <c r="E612" s="27"/>
      <c r="F612" s="32">
        <f>IF(OR('AV'!I26="",'AV'!I26="noch leer",'AV'!G26="",'AV'!G26="noch leer"),"-",IF('AV'!I26=0,1,'AV'!E26-'AV'!I26*'AV'!G26))</f>
        <v>1</v>
      </c>
      <c r="H612" s="97">
        <f>IF('AV'!$H26="","",'AV'!$H26)</f>
        <v>1</v>
      </c>
      <c r="I612" s="29" t="str">
        <f t="shared" si="68"/>
        <v>Richtig!</v>
      </c>
      <c r="J612" s="30" t="str">
        <f t="shared" si="59"/>
        <v>-</v>
      </c>
      <c r="K612" s="23">
        <f t="shared" si="58"/>
      </c>
      <c r="L612" s="24">
        <f t="shared" si="60"/>
      </c>
      <c r="N612" s="841"/>
    </row>
    <row r="613" spans="1:14" ht="12.75" customHeight="1" hidden="1">
      <c r="A613" s="18"/>
      <c r="B613" s="36" t="str">
        <f>IF('[2]E-AV'!B27="","-",'[2]E-AV'!B27)</f>
        <v>Mähwerk</v>
      </c>
      <c r="C613" s="93" t="str">
        <f t="shared" si="67"/>
        <v>Zeitw.  1. Jän.</v>
      </c>
      <c r="D613" s="31">
        <f>IF('[2]E-AV'!$H27="","",'[2]E-AV'!$H27)</f>
        <v>70.25</v>
      </c>
      <c r="E613" s="27"/>
      <c r="F613" s="32">
        <f>IF(OR('AV'!I27="",'AV'!I27="noch leer",'AV'!G27="",'AV'!G27="noch leer"),"-",IF('AV'!I27=0,1,'AV'!E27-'AV'!I27*'AV'!G27))</f>
        <v>70.25</v>
      </c>
      <c r="H613" s="97">
        <f>IF('AV'!$H27="","",'AV'!$H27)</f>
        <v>70.25</v>
      </c>
      <c r="I613" s="29" t="str">
        <f t="shared" si="68"/>
        <v>Richtig!</v>
      </c>
      <c r="J613" s="30" t="str">
        <f t="shared" si="59"/>
        <v>-</v>
      </c>
      <c r="K613" s="23">
        <f t="shared" si="58"/>
      </c>
      <c r="L613" s="24">
        <f t="shared" si="60"/>
      </c>
      <c r="N613" s="841"/>
    </row>
    <row r="614" spans="1:14" ht="12.75">
      <c r="A614" s="18"/>
      <c r="B614" s="36" t="str">
        <f>IF('[2]E-AV'!B28="","-",'[2]E-AV'!B28)</f>
        <v>Kreiselzetter</v>
      </c>
      <c r="C614" s="93" t="str">
        <f t="shared" si="67"/>
        <v>Zeitw.  1. Jän.</v>
      </c>
      <c r="D614" s="31">
        <f>IF('[2]E-AV'!$H28="","",'[2]E-AV'!$H28)</f>
        <v>1</v>
      </c>
      <c r="E614" s="27"/>
      <c r="F614" s="32" t="str">
        <f>IF(OR('AV'!I28="",'AV'!I28="noch leer",'AV'!G28="",'AV'!G28="noch leer"),"-",IF('AV'!I28=0,1,'AV'!E28-'AV'!I28*'AV'!G28))</f>
        <v>-</v>
      </c>
      <c r="H614" s="97">
        <f>IF('AV'!$H28="","",'AV'!$H28)</f>
      </c>
      <c r="I614" s="29" t="str">
        <f t="shared" si="68"/>
        <v>Fehlt</v>
      </c>
      <c r="J614" s="30">
        <f t="shared" si="59"/>
        <v>0</v>
      </c>
      <c r="K614" s="23" t="str">
        <f t="shared" si="58"/>
        <v>│</v>
      </c>
      <c r="L614" s="24">
        <f t="shared" si="60"/>
        <v>1</v>
      </c>
      <c r="N614" s="841" t="s">
        <v>11</v>
      </c>
    </row>
    <row r="615" spans="1:14" ht="12.75">
      <c r="A615" s="18"/>
      <c r="B615" s="36" t="str">
        <f>IF('[2]E-AV'!B29="","-",'[2]E-AV'!B29)</f>
        <v>Heuraupe</v>
      </c>
      <c r="C615" s="93" t="str">
        <f t="shared" si="67"/>
        <v>Zeitw.  1. Jän.</v>
      </c>
      <c r="D615" s="31">
        <f>IF('[2]E-AV'!$H29="","",'[2]E-AV'!$H29)</f>
        <v>297.3333333333335</v>
      </c>
      <c r="E615" s="27"/>
      <c r="F615" s="32" t="str">
        <f>IF(OR('AV'!I29="",'AV'!I29="noch leer",'AV'!G29="",'AV'!G29="noch leer"),"-",IF('AV'!I29=0,1,'AV'!E29-'AV'!I29*'AV'!G29))</f>
        <v>-</v>
      </c>
      <c r="H615" s="97">
        <f>IF('AV'!$H29="","",'AV'!$H29)</f>
      </c>
      <c r="I615" s="29" t="str">
        <f t="shared" si="68"/>
        <v>Fehlt</v>
      </c>
      <c r="J615" s="30">
        <f t="shared" si="59"/>
        <v>0</v>
      </c>
      <c r="K615" s="23" t="str">
        <f t="shared" si="58"/>
        <v>│</v>
      </c>
      <c r="L615" s="24">
        <f t="shared" si="60"/>
        <v>1</v>
      </c>
      <c r="N615" s="841" t="s">
        <v>11</v>
      </c>
    </row>
    <row r="616" spans="1:14" ht="12.75">
      <c r="A616" s="18"/>
      <c r="B616" s="36" t="str">
        <f>IF('[2]E-AV'!B30="","-",'[2]E-AV'!B30)</f>
        <v>Pflug</v>
      </c>
      <c r="C616" s="93" t="str">
        <f t="shared" si="67"/>
        <v>Zeitw.  1. Jän.</v>
      </c>
      <c r="D616" s="31">
        <f>IF('[2]E-AV'!$H30="","",'[2]E-AV'!$H30)</f>
        <v>451.42857142857133</v>
      </c>
      <c r="E616" s="27"/>
      <c r="F616" s="32" t="str">
        <f>IF(OR('AV'!I30="",'AV'!I30="noch leer",'AV'!G30="",'AV'!G30="noch leer"),"-",IF('AV'!I30=0,1,'AV'!E30-'AV'!I30*'AV'!G30))</f>
        <v>-</v>
      </c>
      <c r="H616" s="97">
        <f>IF('AV'!$H30="","",'AV'!$H30)</f>
      </c>
      <c r="I616" s="29" t="str">
        <f t="shared" si="68"/>
        <v>Fehlt</v>
      </c>
      <c r="J616" s="30">
        <f t="shared" si="59"/>
        <v>0</v>
      </c>
      <c r="K616" s="23" t="str">
        <f t="shared" si="58"/>
        <v>│</v>
      </c>
      <c r="L616" s="24">
        <f t="shared" si="60"/>
        <v>1</v>
      </c>
      <c r="N616" s="841" t="s">
        <v>11</v>
      </c>
    </row>
    <row r="617" spans="1:14" ht="12.75">
      <c r="A617" s="18"/>
      <c r="B617" s="36" t="str">
        <f>IF('[2]E-AV'!B31="","-",'[2]E-AV'!B31)</f>
        <v>Vakuumfass</v>
      </c>
      <c r="C617" s="93" t="str">
        <f t="shared" si="67"/>
        <v>Zeitw.  1. Jän.</v>
      </c>
      <c r="D617" s="31">
        <f>IF('[2]E-AV'!$H31="","",'[2]E-AV'!$H31)</f>
        <v>1</v>
      </c>
      <c r="E617" s="27"/>
      <c r="F617" s="32" t="str">
        <f>IF(OR('AV'!I31="",'AV'!I31="noch leer",'AV'!G31="",'AV'!G31="noch leer"),"-",IF('AV'!I31=0,1,'AV'!E31-'AV'!I31*'AV'!G31))</f>
        <v>-</v>
      </c>
      <c r="H617" s="97">
        <f>IF('AV'!$H31="","",'AV'!$H31)</f>
      </c>
      <c r="I617" s="29" t="str">
        <f t="shared" si="68"/>
        <v>Fehlt</v>
      </c>
      <c r="J617" s="30">
        <f t="shared" si="59"/>
        <v>0</v>
      </c>
      <c r="K617" s="23" t="str">
        <f t="shared" si="58"/>
        <v>│</v>
      </c>
      <c r="L617" s="24">
        <f t="shared" si="60"/>
        <v>1</v>
      </c>
      <c r="N617" s="841" t="str">
        <f>IF($L$1="","",$L$1)</f>
        <v>x</v>
      </c>
    </row>
    <row r="618" spans="1:14" ht="12.75" customHeight="1" hidden="1">
      <c r="A618" s="18"/>
      <c r="B618" s="36" t="str">
        <f>IF('[2]E-AV'!B32="","-",'[2]E-AV'!B32)</f>
        <v>Gebläse</v>
      </c>
      <c r="C618" s="93" t="str">
        <f t="shared" si="67"/>
        <v>Zeitw.  1. Jän.</v>
      </c>
      <c r="D618" s="31">
        <f>IF('[2]E-AV'!$H32="","",'[2]E-AV'!$H32)</f>
        <v>1</v>
      </c>
      <c r="E618" s="27"/>
      <c r="F618" s="32">
        <f>IF(OR('AV'!I32="",'AV'!I32="noch leer",'AV'!G32="",'AV'!G32="noch leer"),"-",IF('AV'!I32=0,1,'AV'!E32-'AV'!I32*'AV'!G32))</f>
        <v>1</v>
      </c>
      <c r="H618" s="97">
        <f>IF('AV'!$H32="","",'AV'!$H32)</f>
        <v>1</v>
      </c>
      <c r="I618" s="29" t="str">
        <f t="shared" si="68"/>
        <v>Richtig!</v>
      </c>
      <c r="J618" s="30" t="str">
        <f t="shared" si="59"/>
        <v>-</v>
      </c>
      <c r="K618" s="23">
        <f t="shared" si="58"/>
      </c>
      <c r="L618" s="24">
        <f t="shared" si="60"/>
      </c>
      <c r="N618" s="841"/>
    </row>
    <row r="619" spans="1:14" ht="12.75" customHeight="1" hidden="1">
      <c r="A619" s="18"/>
      <c r="B619" s="36" t="str">
        <f>IF('[2]E-AV'!B33="","-",'[2]E-AV'!B33)</f>
        <v>Butterfass</v>
      </c>
      <c r="C619" s="93" t="str">
        <f t="shared" si="67"/>
        <v>Zeitw.  1. Jän.</v>
      </c>
      <c r="D619" s="31">
        <f>IF('[2]E-AV'!$H33="","",'[2]E-AV'!$H33)</f>
        <v>385</v>
      </c>
      <c r="E619" s="27"/>
      <c r="F619" s="32">
        <f>IF(OR('AV'!I33="",'AV'!I33="noch leer",'AV'!G33="",'AV'!G33="noch leer"),"-",IF('AV'!I33=0,1,'AV'!E33-'AV'!I33*'AV'!G33))</f>
        <v>385</v>
      </c>
      <c r="H619" s="97">
        <f>IF('AV'!$H33="","",'AV'!$H33)</f>
        <v>385</v>
      </c>
      <c r="I619" s="29" t="str">
        <f t="shared" si="68"/>
        <v>Richtig!</v>
      </c>
      <c r="J619" s="30" t="str">
        <f t="shared" si="59"/>
        <v>-</v>
      </c>
      <c r="K619" s="23">
        <f aca="true" t="shared" si="69" ref="K619:K684">IF(L619="","","│")</f>
      </c>
      <c r="L619" s="24">
        <f t="shared" si="60"/>
      </c>
      <c r="N619" s="841"/>
    </row>
    <row r="620" spans="1:14" ht="12.75" customHeight="1" hidden="1">
      <c r="A620" s="18"/>
      <c r="B620" s="36" t="str">
        <f>IF('[2]E-AV'!B34="","-",'[2]E-AV'!B34)</f>
        <v>Zentrifuge</v>
      </c>
      <c r="C620" s="93" t="str">
        <f t="shared" si="67"/>
        <v>Zeitw.  1. Jän.</v>
      </c>
      <c r="D620" s="31">
        <f>IF('[2]E-AV'!$H34="","",'[2]E-AV'!$H34)</f>
        <v>1</v>
      </c>
      <c r="E620" s="27"/>
      <c r="F620" s="32">
        <f>IF(OR('AV'!I34="",'AV'!I34="noch leer",'AV'!G34="",'AV'!G34="noch leer"),"-",IF('AV'!I34=0,1,'AV'!E34-'AV'!I34*'AV'!G34))</f>
        <v>1</v>
      </c>
      <c r="H620" s="97">
        <f>IF('AV'!$H34="","",'AV'!$H34)</f>
        <v>1</v>
      </c>
      <c r="I620" s="29" t="str">
        <f t="shared" si="68"/>
        <v>Richtig!</v>
      </c>
      <c r="J620" s="30" t="str">
        <f t="shared" si="59"/>
        <v>-</v>
      </c>
      <c r="K620" s="23">
        <f t="shared" si="69"/>
      </c>
      <c r="L620" s="24">
        <f t="shared" si="60"/>
      </c>
      <c r="N620" s="841"/>
    </row>
    <row r="621" spans="1:14" ht="12.75">
      <c r="A621" s="18"/>
      <c r="B621" s="36" t="str">
        <f>IF('[2]E-AV'!B35="","-",'[2]E-AV'!B35)</f>
        <v>Melkmaschine</v>
      </c>
      <c r="C621" s="93" t="str">
        <f t="shared" si="67"/>
        <v>Zeitw.  1. Jän.</v>
      </c>
      <c r="D621" s="31">
        <f>IF('[2]E-AV'!$H35="","",'[2]E-AV'!$H35)</f>
        <v>832.5</v>
      </c>
      <c r="E621" s="27"/>
      <c r="F621" s="32" t="str">
        <f>IF(OR('AV'!I35="",'AV'!I35="noch leer",'AV'!G35="",'AV'!G35="noch leer"),"-",IF('AV'!I35=0,1,'AV'!E35-'AV'!I35*'AV'!G35))</f>
        <v>-</v>
      </c>
      <c r="H621" s="97">
        <f>IF('AV'!$H35="","",'AV'!$H35)</f>
      </c>
      <c r="I621" s="29" t="str">
        <f t="shared" si="68"/>
        <v>Fehlt</v>
      </c>
      <c r="J621" s="30">
        <f t="shared" si="59"/>
        <v>0</v>
      </c>
      <c r="K621" s="23" t="str">
        <f t="shared" si="69"/>
        <v>│</v>
      </c>
      <c r="L621" s="24">
        <f t="shared" si="60"/>
        <v>1</v>
      </c>
      <c r="N621" s="841" t="str">
        <f>IF($L$1="","",$L$1)</f>
        <v>x</v>
      </c>
    </row>
    <row r="622" spans="1:14" ht="12.75">
      <c r="A622" s="18"/>
      <c r="B622" s="36" t="str">
        <f>IF('[2]E-AV'!B36="","-",'[2]E-AV'!B36)</f>
        <v>Motorsäge</v>
      </c>
      <c r="C622" s="93" t="str">
        <f t="shared" si="67"/>
        <v>Zeitw.  1. Jän.</v>
      </c>
      <c r="D622" s="31">
        <f>IF('[2]E-AV'!$H36="","",'[2]E-AV'!$H36)</f>
        <v>1</v>
      </c>
      <c r="E622" s="27"/>
      <c r="F622" s="32" t="str">
        <f>IF(OR('AV'!I36="",'AV'!I36="noch leer",'AV'!G36="",'AV'!G36="noch leer"),"-",IF('AV'!I36=0,1,'AV'!E36-'AV'!I36*'AV'!G36))</f>
        <v>-</v>
      </c>
      <c r="H622" s="97">
        <f>IF('AV'!$H36="","",'AV'!$H36)</f>
      </c>
      <c r="I622" s="29" t="str">
        <f t="shared" si="68"/>
        <v>Fehlt</v>
      </c>
      <c r="J622" s="30">
        <f aca="true" t="shared" si="70" ref="J622:J685">IF(OR(B622="-",N622="",AND(D622="",H622="")),"-",IF(I622="Richtig!",1,IF(I622="Formel: OK",0.5,IF(OR(I622="Falsch",I622="Fehlt"),0,""))))</f>
        <v>0</v>
      </c>
      <c r="K622" s="23" t="str">
        <f t="shared" si="69"/>
        <v>│</v>
      </c>
      <c r="L622" s="24">
        <f aca="true" t="shared" si="71" ref="L622:L685">IF(OR(B622="-",N622="",AND(D622="",H622="")),"",1)</f>
        <v>1</v>
      </c>
      <c r="N622" s="841" t="str">
        <f>IF($L$1="","",$L$1)</f>
        <v>x</v>
      </c>
    </row>
    <row r="623" spans="1:14" ht="12.75" customHeight="1" hidden="1">
      <c r="A623" s="18"/>
      <c r="B623" s="36" t="str">
        <f>IF('[2]E-AV'!B37="","-",'[2]E-AV'!B37)</f>
        <v>PKW-Anhänger</v>
      </c>
      <c r="C623" s="93" t="str">
        <f t="shared" si="67"/>
        <v>Zeitw.  1. Jän.</v>
      </c>
      <c r="D623" s="31">
        <f>IF('[2]E-AV'!$H37="","",'[2]E-AV'!$H37)</f>
        <v>271.25</v>
      </c>
      <c r="E623" s="27"/>
      <c r="F623" s="32">
        <f>IF(OR('AV'!I37="",'AV'!I37="noch leer",'AV'!G37="",'AV'!G37="noch leer"),"-",IF('AV'!I37=0,1,'AV'!E37-'AV'!I37*'AV'!G37))</f>
        <v>271.25</v>
      </c>
      <c r="H623" s="97">
        <f>IF('AV'!$H37="","",'AV'!$H37)</f>
        <v>271.25</v>
      </c>
      <c r="I623" s="29" t="str">
        <f t="shared" si="68"/>
        <v>Richtig!</v>
      </c>
      <c r="J623" s="30" t="str">
        <f t="shared" si="70"/>
        <v>-</v>
      </c>
      <c r="K623" s="23">
        <f t="shared" si="69"/>
      </c>
      <c r="L623" s="24">
        <f t="shared" si="71"/>
      </c>
      <c r="N623" s="841"/>
    </row>
    <row r="624" spans="1:14" ht="12.75">
      <c r="A624" s="18"/>
      <c r="B624" s="36" t="str">
        <f>IF('[2]E-AV'!B38="","-",'[2]E-AV'!B38)</f>
        <v>Frontlader</v>
      </c>
      <c r="C624" s="93" t="str">
        <f t="shared" si="67"/>
        <v>Zeitw.  1. Jän.</v>
      </c>
      <c r="D624" s="31">
        <f>IF('[2]E-AV'!$H38="","",'[2]E-AV'!$H38)</f>
        <v>1</v>
      </c>
      <c r="E624" s="27"/>
      <c r="F624" s="32" t="str">
        <f>IF(OR('AV'!I38="",'AV'!I38="noch leer",'AV'!G38="",'AV'!G38="noch leer"),"-",IF('AV'!I38=0,1,'AV'!E38-'AV'!I38*'AV'!G38))</f>
        <v>-</v>
      </c>
      <c r="H624" s="97">
        <f>IF('AV'!$H38="","",'AV'!$H38)</f>
      </c>
      <c r="I624" s="29" t="str">
        <f t="shared" si="68"/>
        <v>Fehlt</v>
      </c>
      <c r="J624" s="30">
        <f t="shared" si="70"/>
        <v>0</v>
      </c>
      <c r="K624" s="23" t="str">
        <f t="shared" si="69"/>
        <v>│</v>
      </c>
      <c r="L624" s="24">
        <f t="shared" si="71"/>
        <v>1</v>
      </c>
      <c r="N624" s="841" t="str">
        <f>IF($L$1="","",$L$1)</f>
        <v>x</v>
      </c>
    </row>
    <row r="625" spans="1:14" ht="12.75" customHeight="1" hidden="1">
      <c r="A625" s="18"/>
      <c r="B625" s="36" t="str">
        <f>IF('[2]E-AV'!B39="","-",'[2]E-AV'!B39)</f>
        <v>Ackerschleppe</v>
      </c>
      <c r="C625" s="93" t="str">
        <f t="shared" si="67"/>
        <v>Zeitw.  1. Jän.</v>
      </c>
      <c r="D625" s="31">
        <f>IF('[2]E-AV'!$H39="","",'[2]E-AV'!$H39)</f>
        <v>1</v>
      </c>
      <c r="E625" s="27"/>
      <c r="F625" s="32">
        <f>IF(OR('AV'!I39="",'AV'!I39="noch leer",'AV'!G39="",'AV'!G39="noch leer"),"-",IF('AV'!I39=0,1,'AV'!E39-'AV'!I39*'AV'!G39))</f>
        <v>1</v>
      </c>
      <c r="H625" s="97">
        <f>IF('AV'!$H39="","",'AV'!$H39)</f>
        <v>1</v>
      </c>
      <c r="I625" s="29" t="str">
        <f t="shared" si="68"/>
        <v>Richtig!</v>
      </c>
      <c r="J625" s="30" t="str">
        <f t="shared" si="70"/>
        <v>-</v>
      </c>
      <c r="K625" s="23">
        <f t="shared" si="69"/>
      </c>
      <c r="L625" s="24">
        <f t="shared" si="71"/>
      </c>
      <c r="N625" s="841"/>
    </row>
    <row r="626" spans="1:14" ht="12.75" customHeight="1" hidden="1">
      <c r="A626" s="18"/>
      <c r="B626" s="36" t="str">
        <f>IF('[2]E-AV'!B40="","-",'[2]E-AV'!B40)</f>
        <v>-</v>
      </c>
      <c r="C626" s="93" t="str">
        <f t="shared" si="67"/>
        <v>Zeitw.  1. Jän.</v>
      </c>
      <c r="D626" s="31">
        <f>IF('[2]E-AV'!$H40="","",'[2]E-AV'!$H40)</f>
      </c>
      <c r="E626" s="27"/>
      <c r="F626" s="32" t="str">
        <f>IF(OR('AV'!I40="",'AV'!I40="noch leer",'AV'!G40="",'AV'!G40="noch leer"),"-",IF('AV'!I40=0,1,'AV'!E40-'AV'!I40*'AV'!G40))</f>
        <v>-</v>
      </c>
      <c r="H626" s="97">
        <f>IF('AV'!$H40="","",'AV'!$H40)</f>
      </c>
      <c r="I626" s="29" t="str">
        <f t="shared" si="68"/>
        <v>Richtig!</v>
      </c>
      <c r="J626" s="30" t="str">
        <f t="shared" si="70"/>
        <v>-</v>
      </c>
      <c r="K626" s="23">
        <f t="shared" si="69"/>
      </c>
      <c r="L626" s="24">
        <f t="shared" si="71"/>
      </c>
      <c r="N626" s="841"/>
    </row>
    <row r="627" spans="1:14" ht="12.75">
      <c r="A627" s="18"/>
      <c r="B627" s="92" t="str">
        <f>IF('[2]E-AV'!B41="","-",'[2]E-AV'!B41)</f>
        <v>Summe Maschinen und Geräte</v>
      </c>
      <c r="C627" s="93" t="str">
        <f t="shared" si="67"/>
        <v>Zeitw.  1. Jän.</v>
      </c>
      <c r="D627" s="31">
        <f>IF('[2]E-AV'!$H41="","",'[2]E-AV'!$H41)</f>
        <v>7277.1369047619055</v>
      </c>
      <c r="E627" s="27"/>
      <c r="F627" s="32">
        <f>IF(AND(H607="",H608="",H609="",H610="",H611="",H612="",H613="",H614="",H615="",H616="",H617="",H618="",H619="",H620="",H621="",H622="",H623="",H624="",H625="",H626=""),"-",SUM(H607:H626))</f>
        <v>731.5</v>
      </c>
      <c r="H627" s="97">
        <f>IF('AV'!$H41="","",'AV'!$H41)</f>
      </c>
      <c r="I627" s="29" t="str">
        <f t="shared" si="68"/>
        <v>Fehlt</v>
      </c>
      <c r="J627" s="30">
        <f t="shared" si="70"/>
        <v>0</v>
      </c>
      <c r="K627" s="23" t="str">
        <f t="shared" si="69"/>
        <v>│</v>
      </c>
      <c r="L627" s="24">
        <f t="shared" si="71"/>
        <v>1</v>
      </c>
      <c r="N627" s="841" t="str">
        <f>IF($L$1="","",$L$1)</f>
        <v>x</v>
      </c>
    </row>
    <row r="628" spans="1:14" ht="12.75">
      <c r="A628" s="18"/>
      <c r="B628" s="18"/>
      <c r="C628" s="18"/>
      <c r="D628" s="19"/>
      <c r="H628" s="17"/>
      <c r="I628" s="21"/>
      <c r="J628" s="21"/>
      <c r="K628" s="23"/>
      <c r="L628" s="24">
        <f t="shared" si="71"/>
      </c>
      <c r="N628" s="842" t="str">
        <f>IF($L$1="","",$L$1)</f>
        <v>x</v>
      </c>
    </row>
    <row r="629" spans="1:14" ht="12.75">
      <c r="A629" s="17" t="s">
        <v>14</v>
      </c>
      <c r="B629" s="17" t="s">
        <v>65</v>
      </c>
      <c r="C629" s="18"/>
      <c r="D629" s="19">
        <f>IF('[2]E-AV'!$G42="","",'[2]E-AV'!$G42)</f>
      </c>
      <c r="H629" s="17">
        <f>IF('AV'!$G42="","",'AV'!$G42)</f>
      </c>
      <c r="I629" s="21"/>
      <c r="J629" s="21"/>
      <c r="K629" s="23">
        <f t="shared" si="69"/>
      </c>
      <c r="L629" s="24">
        <f t="shared" si="71"/>
      </c>
      <c r="N629" s="839" t="str">
        <f>IF($L$1="","",$L$1)</f>
        <v>x</v>
      </c>
    </row>
    <row r="630" spans="2:14" ht="12.75">
      <c r="B630" s="95" t="str">
        <f>IF('[2]E-AV'!B6="","-",'[2]E-AV'!B6)</f>
        <v>Grundverbesserungen</v>
      </c>
      <c r="C630" s="42"/>
      <c r="D630" s="19"/>
      <c r="H630" s="17"/>
      <c r="I630" s="29"/>
      <c r="J630" s="29"/>
      <c r="K630" s="23">
        <f t="shared" si="69"/>
      </c>
      <c r="L630" s="24">
        <f t="shared" si="71"/>
      </c>
      <c r="N630" s="839" t="str">
        <f>IF($L$1="","",$L$1)</f>
        <v>x</v>
      </c>
    </row>
    <row r="631" spans="1:14" ht="12.75" hidden="1">
      <c r="A631" s="18"/>
      <c r="B631" s="3" t="str">
        <f>IF('[2]E-AV'!B7="","-",'[2]E-AV'!B7)</f>
        <v>Maulwurfsdrainage</v>
      </c>
      <c r="C631" s="93" t="str">
        <f>MID($B$629,1,5)&amp;". "&amp;MID($B$629,10,7)</f>
        <v>Jährl.  Afa</v>
      </c>
      <c r="D631" s="26">
        <f>IF('[2]E-AV'!$I7="","",'[2]E-AV'!$I7)</f>
        <v>0</v>
      </c>
      <c r="E631" s="27"/>
      <c r="F631" s="27"/>
      <c r="H631" s="94">
        <f>IF('AV'!$I7="","",'AV'!$I7)</f>
        <v>0</v>
      </c>
      <c r="I631" s="29" t="str">
        <f>IF(OR(B630="-",AND(D631="",H631="")),"",IF(H631=D631,"Richtig!",IF(H631="","Fehlt","Falsch")))</f>
        <v>Richtig!</v>
      </c>
      <c r="J631" s="30" t="str">
        <f t="shared" si="70"/>
        <v>-</v>
      </c>
      <c r="K631" s="23">
        <f t="shared" si="69"/>
      </c>
      <c r="L631" s="24">
        <f t="shared" si="71"/>
      </c>
      <c r="N631" s="841"/>
    </row>
    <row r="632" spans="1:14" ht="12.75" hidden="1">
      <c r="A632" s="18"/>
      <c r="B632" s="3" t="str">
        <f>IF('[2]E-AV'!B8="","-",'[2]E-AV'!B8)</f>
        <v>-</v>
      </c>
      <c r="C632" s="93" t="str">
        <f>MID($B$629,1,5)&amp;". "&amp;MID($B$629,10,7)</f>
        <v>Jährl.  Afa</v>
      </c>
      <c r="D632" s="26">
        <f>IF('[2]E-AV'!$I8="","",'[2]E-AV'!$I8)</f>
      </c>
      <c r="E632" s="27"/>
      <c r="F632" s="27"/>
      <c r="H632" s="94">
        <f>IF('AV'!$I8="","",'AV'!$I8)</f>
      </c>
      <c r="I632" s="29">
        <f>IF(OR(B631="-",AND(D632="",H632="")),"",IF(H632=D632,"Richtig!",IF(H632="","Fehlt","Falsch")))</f>
      </c>
      <c r="J632" s="30" t="str">
        <f t="shared" si="70"/>
        <v>-</v>
      </c>
      <c r="K632" s="23">
        <f t="shared" si="69"/>
      </c>
      <c r="L632" s="24">
        <f t="shared" si="71"/>
      </c>
      <c r="N632" s="841"/>
    </row>
    <row r="633" spans="1:14" ht="12.75">
      <c r="A633" s="18"/>
      <c r="B633" s="92" t="str">
        <f>IF('[2]E-AV'!B9="","-",'[2]E-AV'!B9)</f>
        <v>Summe Grundverbesserungen</v>
      </c>
      <c r="C633" s="93" t="str">
        <f>MID($B$629,1,5)&amp;". "&amp;MID($B$629,10,7)</f>
        <v>Jährl.  Afa</v>
      </c>
      <c r="D633" s="31">
        <f>IF('[2]E-AV'!$I9="","",'[2]E-AV'!$I9)</f>
        <v>0</v>
      </c>
      <c r="E633" s="27"/>
      <c r="F633" s="32">
        <f>IF(AND(H631="",H632=""),"-",SUM(H631:H632))</f>
        <v>0</v>
      </c>
      <c r="H633" s="97">
        <f>IF('AV'!$I9="","",'AV'!$I9)</f>
      </c>
      <c r="I633" s="29" t="str">
        <f>IF(B633="","",IF(H633=D633,"Richtig!",IF(AND(D633&lt;&gt;H633,F633=H633),"Formel: OK",IF(H633="","Fehlt","Falsch"))))</f>
        <v>Fehlt</v>
      </c>
      <c r="J633" s="30">
        <f t="shared" si="70"/>
        <v>0</v>
      </c>
      <c r="K633" s="23" t="str">
        <f t="shared" si="69"/>
        <v>│</v>
      </c>
      <c r="L633" s="24">
        <f t="shared" si="71"/>
        <v>1</v>
      </c>
      <c r="N633" s="841" t="str">
        <f>IF($L$1="","",$L$1)</f>
        <v>x</v>
      </c>
    </row>
    <row r="634" spans="2:14" ht="12.75">
      <c r="B634" s="95" t="str">
        <f>IF('[2]E-AV'!B10="","-",'[2]E-AV'!B10)</f>
        <v>Gebäude und bauliche Anlagen</v>
      </c>
      <c r="C634" s="93"/>
      <c r="D634" s="19"/>
      <c r="H634" s="17"/>
      <c r="I634" s="29"/>
      <c r="J634" s="29"/>
      <c r="K634" s="23">
        <f t="shared" si="69"/>
      </c>
      <c r="L634" s="24">
        <f t="shared" si="71"/>
      </c>
      <c r="N634" s="839" t="str">
        <f>IF($L$1="","",$L$1)</f>
        <v>x</v>
      </c>
    </row>
    <row r="635" spans="1:14" ht="12.75" hidden="1">
      <c r="A635" s="18"/>
      <c r="B635" s="3" t="str">
        <f>IF('[2]E-AV'!B11="","-",'[2]E-AV'!B11)</f>
        <v>Rinderstall (Warmstall)</v>
      </c>
      <c r="C635" s="93" t="str">
        <f aca="true" t="shared" si="72" ref="C635:C643">MID($B$629,1,5)&amp;". "&amp;MID($B$629,10,7)</f>
        <v>Jährl.  Afa</v>
      </c>
      <c r="D635" s="26">
        <f>IF('[2]E-AV'!$I11="","",'[2]E-AV'!$I11)</f>
        <v>3369.6</v>
      </c>
      <c r="E635" s="27"/>
      <c r="F635" s="27"/>
      <c r="H635" s="94" t="str">
        <f>IF('AV'!$I11="","",'AV'!$I11)</f>
        <v>noch leer</v>
      </c>
      <c r="I635" s="29" t="str">
        <f aca="true" t="shared" si="73" ref="I635:I642">IF(OR(B634="-",AND(D635="",H635="")),"",IF(H635=D635,"Richtig!",IF(H635="","Fehlt","Falsch")))</f>
        <v>Falsch</v>
      </c>
      <c r="J635" s="30" t="str">
        <f t="shared" si="70"/>
        <v>-</v>
      </c>
      <c r="K635" s="23">
        <f t="shared" si="69"/>
      </c>
      <c r="L635" s="24">
        <f t="shared" si="71"/>
      </c>
      <c r="N635" s="841"/>
    </row>
    <row r="636" spans="1:14" ht="12.75">
      <c r="A636" s="18"/>
      <c r="B636" s="3" t="str">
        <f>IF('[2]E-AV'!B12="","-",'[2]E-AV'!B12)</f>
        <v>Schweinestall</v>
      </c>
      <c r="C636" s="93" t="str">
        <f t="shared" si="72"/>
        <v>Jährl.  Afa</v>
      </c>
      <c r="D636" s="26">
        <f>IF('[2]E-AV'!$I12="","",'[2]E-AV'!$I12)</f>
        <v>902.825</v>
      </c>
      <c r="E636" s="27"/>
      <c r="F636" s="27"/>
      <c r="H636" s="94">
        <f>IF('AV'!$I12="","",'AV'!$I12)</f>
      </c>
      <c r="I636" s="29" t="str">
        <f t="shared" si="73"/>
        <v>Fehlt</v>
      </c>
      <c r="J636" s="30">
        <f t="shared" si="70"/>
        <v>0</v>
      </c>
      <c r="K636" s="23" t="str">
        <f t="shared" si="69"/>
        <v>│</v>
      </c>
      <c r="L636" s="24">
        <f t="shared" si="71"/>
        <v>1</v>
      </c>
      <c r="N636" s="841" t="str">
        <f>IF($L$1="","",$L$1)</f>
        <v>x</v>
      </c>
    </row>
    <row r="637" spans="1:14" ht="12.75" hidden="1">
      <c r="A637" s="18"/>
      <c r="B637" s="3" t="str">
        <f>IF('[2]E-AV'!B13="","-",'[2]E-AV'!B13)</f>
        <v>Milchverarbeitungsraum</v>
      </c>
      <c r="C637" s="93" t="str">
        <f t="shared" si="72"/>
        <v>Jährl.  Afa</v>
      </c>
      <c r="D637" s="26">
        <f>IF('[2]E-AV'!$I13="","",'[2]E-AV'!$I13)</f>
        <v>174.5</v>
      </c>
      <c r="E637" s="27"/>
      <c r="F637" s="27"/>
      <c r="H637" s="94">
        <f>IF('AV'!$I13="","",'AV'!$I13)</f>
        <v>174.5</v>
      </c>
      <c r="I637" s="29" t="str">
        <f t="shared" si="73"/>
        <v>Richtig!</v>
      </c>
      <c r="J637" s="30" t="str">
        <f t="shared" si="70"/>
        <v>-</v>
      </c>
      <c r="K637" s="23">
        <f t="shared" si="69"/>
      </c>
      <c r="L637" s="24">
        <f t="shared" si="71"/>
      </c>
      <c r="N637" s="841"/>
    </row>
    <row r="638" spans="1:14" ht="12.75" hidden="1">
      <c r="A638" s="18"/>
      <c r="B638" s="3" t="str">
        <f>IF('[2]E-AV'!B14="","-",'[2]E-AV'!B14)</f>
        <v>Maschinenschuppen</v>
      </c>
      <c r="C638" s="93" t="str">
        <f t="shared" si="72"/>
        <v>Jährl.  Afa</v>
      </c>
      <c r="D638" s="26">
        <f>IF('[2]E-AV'!$I14="","",'[2]E-AV'!$I14)</f>
        <v>113</v>
      </c>
      <c r="E638" s="27"/>
      <c r="F638" s="27"/>
      <c r="H638" s="94">
        <f>IF('AV'!$I14="","",'AV'!$I14)</f>
        <v>113</v>
      </c>
      <c r="I638" s="29" t="str">
        <f t="shared" si="73"/>
        <v>Richtig!</v>
      </c>
      <c r="J638" s="30" t="str">
        <f t="shared" si="70"/>
        <v>-</v>
      </c>
      <c r="K638" s="23">
        <f t="shared" si="69"/>
      </c>
      <c r="L638" s="24">
        <f t="shared" si="71"/>
      </c>
      <c r="N638" s="841"/>
    </row>
    <row r="639" spans="1:14" ht="12.75" hidden="1">
      <c r="A639" s="18"/>
      <c r="B639" s="3" t="str">
        <f>IF('[2]E-AV'!B15="","-",'[2]E-AV'!B15)</f>
        <v>Garage mit Lagerraum</v>
      </c>
      <c r="C639" s="93" t="str">
        <f t="shared" si="72"/>
        <v>Jährl.  Afa</v>
      </c>
      <c r="D639" s="26">
        <f>IF('[2]E-AV'!$I15="","",'[2]E-AV'!$I15)</f>
        <v>784</v>
      </c>
      <c r="E639" s="27"/>
      <c r="F639" s="27"/>
      <c r="H639" s="94">
        <f>IF('AV'!$I15="","",'AV'!$I15)</f>
        <v>784</v>
      </c>
      <c r="I639" s="29" t="str">
        <f t="shared" si="73"/>
        <v>Richtig!</v>
      </c>
      <c r="J639" s="30" t="str">
        <f t="shared" si="70"/>
        <v>-</v>
      </c>
      <c r="K639" s="23">
        <f t="shared" si="69"/>
      </c>
      <c r="L639" s="24">
        <f t="shared" si="71"/>
      </c>
      <c r="N639" s="841"/>
    </row>
    <row r="640" spans="1:14" ht="12.75" hidden="1">
      <c r="A640" s="18"/>
      <c r="B640" s="3" t="str">
        <f>IF('[2]E-AV'!B16="","-",'[2]E-AV'!B16)</f>
        <v>-</v>
      </c>
      <c r="C640" s="93" t="str">
        <f t="shared" si="72"/>
        <v>Jährl.  Afa</v>
      </c>
      <c r="D640" s="26">
        <f>IF('[2]E-AV'!$I16="","",'[2]E-AV'!$I16)</f>
      </c>
      <c r="E640" s="27"/>
      <c r="F640" s="27"/>
      <c r="H640" s="94">
        <f>IF('AV'!$I16="","",'AV'!$I16)</f>
      </c>
      <c r="I640" s="29">
        <f t="shared" si="73"/>
      </c>
      <c r="J640" s="30" t="str">
        <f t="shared" si="70"/>
        <v>-</v>
      </c>
      <c r="K640" s="23">
        <f t="shared" si="69"/>
      </c>
      <c r="L640" s="24">
        <f t="shared" si="71"/>
      </c>
      <c r="N640" s="841"/>
    </row>
    <row r="641" spans="1:14" ht="12.75" hidden="1">
      <c r="A641" s="18"/>
      <c r="B641" s="3" t="str">
        <f>IF('[2]E-AV'!B17="","-",'[2]E-AV'!B17)</f>
        <v>-</v>
      </c>
      <c r="C641" s="93" t="str">
        <f t="shared" si="72"/>
        <v>Jährl.  Afa</v>
      </c>
      <c r="D641" s="26">
        <f>IF('[2]E-AV'!$I17="","",'[2]E-AV'!$I17)</f>
      </c>
      <c r="E641" s="27"/>
      <c r="F641" s="27"/>
      <c r="H641" s="94">
        <f>IF('AV'!$I17="","",'AV'!$I17)</f>
      </c>
      <c r="I641" s="29">
        <f t="shared" si="73"/>
      </c>
      <c r="J641" s="30" t="str">
        <f t="shared" si="70"/>
        <v>-</v>
      </c>
      <c r="K641" s="23">
        <f t="shared" si="69"/>
      </c>
      <c r="L641" s="24">
        <f t="shared" si="71"/>
      </c>
      <c r="N641" s="841"/>
    </row>
    <row r="642" spans="1:14" ht="12.75" hidden="1">
      <c r="A642" s="18"/>
      <c r="B642" s="3" t="str">
        <f>IF('[2]E-AV'!B18="","-",'[2]E-AV'!B18)</f>
        <v>-</v>
      </c>
      <c r="C642" s="93" t="str">
        <f t="shared" si="72"/>
        <v>Jährl.  Afa</v>
      </c>
      <c r="D642" s="26">
        <f>IF('[2]E-AV'!$I18="","",'[2]E-AV'!$I18)</f>
      </c>
      <c r="E642" s="27"/>
      <c r="F642" s="27"/>
      <c r="H642" s="94">
        <f>IF('AV'!$I18="","",'AV'!$I18)</f>
      </c>
      <c r="I642" s="29">
        <f t="shared" si="73"/>
      </c>
      <c r="J642" s="30" t="str">
        <f t="shared" si="70"/>
        <v>-</v>
      </c>
      <c r="K642" s="23">
        <f t="shared" si="69"/>
      </c>
      <c r="L642" s="24">
        <f t="shared" si="71"/>
      </c>
      <c r="N642" s="841"/>
    </row>
    <row r="643" spans="1:14" ht="12.75">
      <c r="A643" s="18"/>
      <c r="B643" s="92" t="str">
        <f>IF('[2]E-AV'!B19="","-",'[2]E-AV'!B19)</f>
        <v>Summe Gebäude und bauliche Anlagen</v>
      </c>
      <c r="C643" s="93" t="str">
        <f t="shared" si="72"/>
        <v>Jährl.  Afa</v>
      </c>
      <c r="D643" s="31">
        <f>IF('[2]E-AV'!$I19="","",'[2]E-AV'!$I19)</f>
        <v>5343.925</v>
      </c>
      <c r="E643" s="27"/>
      <c r="F643" s="32">
        <f>IF(AND(H635="",H636="",H637="",H638="",H639="",H640="",H641="",H642=""),"-",SUM(H635:H642))</f>
        <v>1071.5</v>
      </c>
      <c r="H643" s="97">
        <f>IF('AV'!$I19="","",'AV'!$I19)</f>
      </c>
      <c r="I643" s="29" t="str">
        <f>IF(B643="","",IF(H643=D643,"Richtig!",IF(AND(D643&lt;&gt;H643,F643=H643),"Formel: OK",IF(H643="","Fehlt","Falsch"))))</f>
        <v>Fehlt</v>
      </c>
      <c r="J643" s="30">
        <f t="shared" si="70"/>
        <v>0</v>
      </c>
      <c r="K643" s="23" t="str">
        <f t="shared" si="69"/>
        <v>│</v>
      </c>
      <c r="L643" s="24">
        <f t="shared" si="71"/>
        <v>1</v>
      </c>
      <c r="N643" s="841" t="str">
        <f>IF($L$1="","",$L$1)</f>
        <v>x</v>
      </c>
    </row>
    <row r="644" spans="2:14" ht="12.75">
      <c r="B644" s="95" t="str">
        <f>IF('[2]E-AV'!B20="","-",'[2]E-AV'!B20)</f>
        <v>Maschinen und Geräte</v>
      </c>
      <c r="C644" s="93"/>
      <c r="D644" s="19"/>
      <c r="H644" s="17"/>
      <c r="I644" s="29"/>
      <c r="J644" s="29"/>
      <c r="K644" s="23">
        <f t="shared" si="69"/>
      </c>
      <c r="L644" s="24">
        <f t="shared" si="71"/>
      </c>
      <c r="N644" s="839" t="str">
        <f>IF($L$1="","",$L$1)</f>
        <v>x</v>
      </c>
    </row>
    <row r="645" spans="1:14" ht="12.75" hidden="1">
      <c r="A645" s="18"/>
      <c r="B645" s="3" t="str">
        <f>IF('[2]E-AV'!B21="","-",'[2]E-AV'!B21)</f>
        <v>Standardtraktor</v>
      </c>
      <c r="C645" s="93" t="str">
        <f aca="true" t="shared" si="74" ref="C645:C665">MID($B$629,1,5)&amp;". "&amp;MID($B$629,10,7)</f>
        <v>Jährl.  Afa</v>
      </c>
      <c r="D645" s="26">
        <f>IF('[2]E-AV'!$I21="","",'[2]E-AV'!$I21)</f>
        <v>1653.125</v>
      </c>
      <c r="E645" s="27"/>
      <c r="F645" s="27"/>
      <c r="H645" s="94" t="str">
        <f>IF('AV'!$I21="","",'AV'!$I21)</f>
        <v>noch leer</v>
      </c>
      <c r="I645" s="29" t="str">
        <f>IF(OR(B645="-",AND(D645="",H645="")),"",IF(H645=D645,"Richtig!",IF(H645="","Fehlt","Falsch")))</f>
        <v>Falsch</v>
      </c>
      <c r="J645" s="30" t="str">
        <f>IF(OR(B645="-",N645="",AND(D645="",H645="")),"-",IF(I645="Richtig!",1,IF(I645="Formel: OK",0.5,IF(OR(I645="Falsch",I645="Fehlt"),0,""))))</f>
        <v>-</v>
      </c>
      <c r="K645" s="23">
        <f t="shared" si="69"/>
      </c>
      <c r="L645" s="24">
        <f t="shared" si="71"/>
      </c>
      <c r="N645" s="841"/>
    </row>
    <row r="646" spans="1:14" ht="12.75" hidden="1">
      <c r="A646" s="18"/>
      <c r="B646" s="3" t="str">
        <f>IF('[2]E-AV'!B22="","-",'[2]E-AV'!B22)</f>
        <v>-</v>
      </c>
      <c r="C646" s="93" t="str">
        <f t="shared" si="74"/>
        <v>Jährl.  Afa</v>
      </c>
      <c r="D646" s="26">
        <f>IF('[2]E-AV'!$I22="","",'[2]E-AV'!$I22)</f>
      </c>
      <c r="E646" s="27"/>
      <c r="F646" s="27"/>
      <c r="H646" s="94">
        <f>IF('AV'!$I22="","",'AV'!$I22)</f>
      </c>
      <c r="I646" s="29">
        <f aca="true" t="shared" si="75" ref="I646:I664">IF(OR(B646="-",AND(D646="",H646="")),"",IF(H646=D646,"Richtig!",IF(H646="","Fehlt","Falsch")))</f>
      </c>
      <c r="J646" s="30" t="str">
        <f>IF(OR(B646="-",N646="",AND(D646="",H646="")),"-",IF(I646="Richtig!",1,IF(I646="Formel: OK",0.5,IF(OR(I646="Falsch",I646="Fehlt"),0,""))))</f>
        <v>-</v>
      </c>
      <c r="K646" s="23">
        <f t="shared" si="69"/>
      </c>
      <c r="L646" s="24">
        <f t="shared" si="71"/>
      </c>
      <c r="N646" s="841"/>
    </row>
    <row r="647" spans="1:14" ht="12.75" hidden="1">
      <c r="A647" s="18"/>
      <c r="B647" s="3" t="str">
        <f>IF('[2]E-AV'!B23="","-",'[2]E-AV'!B23)</f>
        <v>-</v>
      </c>
      <c r="C647" s="93" t="str">
        <f t="shared" si="74"/>
        <v>Jährl.  Afa</v>
      </c>
      <c r="D647" s="26">
        <f>IF('[2]E-AV'!$I23="","",'[2]E-AV'!$I23)</f>
      </c>
      <c r="E647" s="27"/>
      <c r="F647" s="27"/>
      <c r="H647" s="94">
        <f>IF('AV'!$I23="","",'AV'!$I23)</f>
      </c>
      <c r="I647" s="29">
        <f t="shared" si="75"/>
      </c>
      <c r="J647" s="30" t="str">
        <f t="shared" si="70"/>
        <v>-</v>
      </c>
      <c r="K647" s="23">
        <f t="shared" si="69"/>
      </c>
      <c r="L647" s="24">
        <f t="shared" si="71"/>
      </c>
      <c r="N647" s="841"/>
    </row>
    <row r="648" spans="1:14" ht="12.75" hidden="1">
      <c r="A648" s="18"/>
      <c r="B648" s="3" t="str">
        <f>IF('[2]E-AV'!B24="","-",'[2]E-AV'!B24)</f>
        <v>Motormäher</v>
      </c>
      <c r="C648" s="93" t="str">
        <f t="shared" si="74"/>
        <v>Jährl.  Afa</v>
      </c>
      <c r="D648" s="26">
        <f>IF('[2]E-AV'!$I24="","",'[2]E-AV'!$I24)</f>
        <v>0</v>
      </c>
      <c r="E648" s="27"/>
      <c r="F648" s="27"/>
      <c r="H648" s="94" t="str">
        <f>IF('AV'!$I24="","",'AV'!$I24)</f>
        <v>noch leer</v>
      </c>
      <c r="I648" s="29" t="str">
        <f t="shared" si="75"/>
        <v>Falsch</v>
      </c>
      <c r="J648" s="30" t="str">
        <f t="shared" si="70"/>
        <v>-</v>
      </c>
      <c r="K648" s="23">
        <f t="shared" si="69"/>
      </c>
      <c r="L648" s="24">
        <f t="shared" si="71"/>
      </c>
      <c r="N648" s="841"/>
    </row>
    <row r="649" spans="1:14" ht="12.75" hidden="1">
      <c r="A649" s="18"/>
      <c r="B649" s="3" t="str">
        <f>IF('[2]E-AV'!B25="","-",'[2]E-AV'!B25)</f>
        <v>Ladewagen</v>
      </c>
      <c r="C649" s="93" t="str">
        <f t="shared" si="74"/>
        <v>Jährl.  Afa</v>
      </c>
      <c r="D649" s="26">
        <f>IF('[2]E-AV'!$I25="","",'[2]E-AV'!$I25)</f>
        <v>0</v>
      </c>
      <c r="E649" s="27"/>
      <c r="F649" s="27"/>
      <c r="H649" s="94">
        <f>IF('AV'!$I25="","",'AV'!$I25)</f>
        <v>0</v>
      </c>
      <c r="I649" s="29" t="str">
        <f t="shared" si="75"/>
        <v>Richtig!</v>
      </c>
      <c r="J649" s="30" t="str">
        <f t="shared" si="70"/>
        <v>-</v>
      </c>
      <c r="K649" s="23">
        <f t="shared" si="69"/>
      </c>
      <c r="L649" s="24">
        <f t="shared" si="71"/>
      </c>
      <c r="N649" s="841"/>
    </row>
    <row r="650" spans="1:14" ht="12.75" hidden="1">
      <c r="A650" s="18"/>
      <c r="B650" s="3" t="str">
        <f>IF('[2]E-AV'!B26="","-",'[2]E-AV'!B26)</f>
        <v>Miststreuer</v>
      </c>
      <c r="C650" s="93" t="str">
        <f t="shared" si="74"/>
        <v>Jährl.  Afa</v>
      </c>
      <c r="D650" s="26">
        <f>IF('[2]E-AV'!$I26="","",'[2]E-AV'!$I26)</f>
        <v>0</v>
      </c>
      <c r="E650" s="27"/>
      <c r="F650" s="27"/>
      <c r="H650" s="94">
        <f>IF('AV'!$I26="","",'AV'!$I26)</f>
        <v>0</v>
      </c>
      <c r="I650" s="29" t="str">
        <f t="shared" si="75"/>
        <v>Richtig!</v>
      </c>
      <c r="J650" s="30" t="str">
        <f t="shared" si="70"/>
        <v>-</v>
      </c>
      <c r="K650" s="23">
        <f t="shared" si="69"/>
      </c>
      <c r="L650" s="24">
        <f t="shared" si="71"/>
      </c>
      <c r="N650" s="841"/>
    </row>
    <row r="651" spans="1:14" ht="12.75" hidden="1">
      <c r="A651" s="18"/>
      <c r="B651" s="3" t="str">
        <f>IF('[2]E-AV'!B27="","-",'[2]E-AV'!B27)</f>
        <v>Mähwerk</v>
      </c>
      <c r="C651" s="93" t="str">
        <f t="shared" si="74"/>
        <v>Jährl.  Afa</v>
      </c>
      <c r="D651" s="26">
        <f>IF('[2]E-AV'!$I27="","",'[2]E-AV'!$I27)</f>
        <v>23.416666666666668</v>
      </c>
      <c r="E651" s="27"/>
      <c r="F651" s="27"/>
      <c r="H651" s="94">
        <f>IF('AV'!$I27="","",'AV'!$I27)</f>
        <v>23.416666666666668</v>
      </c>
      <c r="I651" s="29" t="str">
        <f t="shared" si="75"/>
        <v>Richtig!</v>
      </c>
      <c r="J651" s="30" t="str">
        <f t="shared" si="70"/>
        <v>-</v>
      </c>
      <c r="K651" s="23">
        <f t="shared" si="69"/>
      </c>
      <c r="L651" s="24">
        <f t="shared" si="71"/>
      </c>
      <c r="N651" s="841"/>
    </row>
    <row r="652" spans="1:14" ht="12.75">
      <c r="A652" s="18"/>
      <c r="B652" s="3" t="str">
        <f>IF('[2]E-AV'!B28="","-",'[2]E-AV'!B28)</f>
        <v>Kreiselzetter</v>
      </c>
      <c r="C652" s="93" t="str">
        <f t="shared" si="74"/>
        <v>Jährl.  Afa</v>
      </c>
      <c r="D652" s="26">
        <f>IF('[2]E-AV'!$I28="","",'[2]E-AV'!$I28)</f>
        <v>0</v>
      </c>
      <c r="E652" s="27"/>
      <c r="F652" s="27"/>
      <c r="H652" s="94">
        <f>IF('AV'!$I28="","",'AV'!$I28)</f>
      </c>
      <c r="I652" s="29" t="str">
        <f t="shared" si="75"/>
        <v>Fehlt</v>
      </c>
      <c r="J652" s="30">
        <f t="shared" si="70"/>
        <v>0</v>
      </c>
      <c r="K652" s="23" t="str">
        <f t="shared" si="69"/>
        <v>│</v>
      </c>
      <c r="L652" s="24">
        <f t="shared" si="71"/>
        <v>1</v>
      </c>
      <c r="N652" s="841" t="s">
        <v>11</v>
      </c>
    </row>
    <row r="653" spans="1:14" ht="12.75">
      <c r="A653" s="18"/>
      <c r="B653" s="3" t="str">
        <f>IF('[2]E-AV'!B29="","-",'[2]E-AV'!B29)</f>
        <v>Heuraupe</v>
      </c>
      <c r="C653" s="93" t="str">
        <f t="shared" si="74"/>
        <v>Jährl.  Afa</v>
      </c>
      <c r="D653" s="26">
        <f>IF('[2]E-AV'!$I29="","",'[2]E-AV'!$I29)</f>
        <v>148.66666666666666</v>
      </c>
      <c r="E653" s="27"/>
      <c r="F653" s="27"/>
      <c r="H653" s="94">
        <f>IF('AV'!$I29="","",'AV'!$I29)</f>
      </c>
      <c r="I653" s="29" t="str">
        <f t="shared" si="75"/>
        <v>Fehlt</v>
      </c>
      <c r="J653" s="30">
        <f t="shared" si="70"/>
        <v>0</v>
      </c>
      <c r="K653" s="23" t="str">
        <f t="shared" si="69"/>
        <v>│</v>
      </c>
      <c r="L653" s="24">
        <f t="shared" si="71"/>
        <v>1</v>
      </c>
      <c r="N653" s="841" t="s">
        <v>11</v>
      </c>
    </row>
    <row r="654" spans="1:14" ht="12.75">
      <c r="A654" s="18"/>
      <c r="B654" s="3" t="str">
        <f>IF('[2]E-AV'!B30="","-",'[2]E-AV'!B30)</f>
        <v>Pflug</v>
      </c>
      <c r="C654" s="93" t="str">
        <f t="shared" si="74"/>
        <v>Jährl.  Afa</v>
      </c>
      <c r="D654" s="26">
        <f>IF('[2]E-AV'!$I30="","",'[2]E-AV'!$I30)</f>
        <v>112.85714285714286</v>
      </c>
      <c r="E654" s="27"/>
      <c r="F654" s="27"/>
      <c r="H654" s="94">
        <f>IF('AV'!$I30="","",'AV'!$I30)</f>
      </c>
      <c r="I654" s="29" t="str">
        <f t="shared" si="75"/>
        <v>Fehlt</v>
      </c>
      <c r="J654" s="30">
        <f t="shared" si="70"/>
        <v>0</v>
      </c>
      <c r="K654" s="23" t="str">
        <f t="shared" si="69"/>
        <v>│</v>
      </c>
      <c r="L654" s="24">
        <f t="shared" si="71"/>
        <v>1</v>
      </c>
      <c r="N654" s="841" t="s">
        <v>11</v>
      </c>
    </row>
    <row r="655" spans="1:14" ht="12.75">
      <c r="A655" s="18"/>
      <c r="B655" s="3" t="str">
        <f>IF('[2]E-AV'!B31="","-",'[2]E-AV'!B31)</f>
        <v>Vakuumfass</v>
      </c>
      <c r="C655" s="93" t="str">
        <f t="shared" si="74"/>
        <v>Jährl.  Afa</v>
      </c>
      <c r="D655" s="26">
        <f>IF('[2]E-AV'!$I31="","",'[2]E-AV'!$I31)</f>
        <v>0</v>
      </c>
      <c r="E655" s="27"/>
      <c r="F655" s="27"/>
      <c r="H655" s="94">
        <f>IF('AV'!$I31="","",'AV'!$I31)</f>
      </c>
      <c r="I655" s="29" t="str">
        <f t="shared" si="75"/>
        <v>Fehlt</v>
      </c>
      <c r="J655" s="30">
        <f t="shared" si="70"/>
        <v>0</v>
      </c>
      <c r="K655" s="23" t="str">
        <f t="shared" si="69"/>
        <v>│</v>
      </c>
      <c r="L655" s="24">
        <f t="shared" si="71"/>
        <v>1</v>
      </c>
      <c r="N655" s="841" t="str">
        <f>IF($L$1="","",$L$1)</f>
        <v>x</v>
      </c>
    </row>
    <row r="656" spans="1:14" ht="12.75" hidden="1">
      <c r="A656" s="18"/>
      <c r="B656" s="3" t="str">
        <f>IF('[2]E-AV'!B32="","-",'[2]E-AV'!B32)</f>
        <v>Gebläse</v>
      </c>
      <c r="C656" s="93" t="str">
        <f t="shared" si="74"/>
        <v>Jährl.  Afa</v>
      </c>
      <c r="D656" s="26">
        <f>IF('[2]E-AV'!$I32="","",'[2]E-AV'!$I32)</f>
        <v>0</v>
      </c>
      <c r="E656" s="27"/>
      <c r="F656" s="27"/>
      <c r="H656" s="94">
        <f>IF('AV'!$I32="","",'AV'!$I32)</f>
        <v>0</v>
      </c>
      <c r="I656" s="29" t="str">
        <f t="shared" si="75"/>
        <v>Richtig!</v>
      </c>
      <c r="J656" s="30" t="str">
        <f t="shared" si="70"/>
        <v>-</v>
      </c>
      <c r="K656" s="23">
        <f t="shared" si="69"/>
      </c>
      <c r="L656" s="24">
        <f t="shared" si="71"/>
      </c>
      <c r="N656" s="841"/>
    </row>
    <row r="657" spans="1:14" ht="12.75" hidden="1">
      <c r="A657" s="18"/>
      <c r="B657" s="3" t="str">
        <f>IF('[2]E-AV'!B33="","-",'[2]E-AV'!B33)</f>
        <v>Butterfass</v>
      </c>
      <c r="C657" s="93" t="str">
        <f t="shared" si="74"/>
        <v>Jährl.  Afa</v>
      </c>
      <c r="D657" s="26">
        <f>IF('[2]E-AV'!$I33="","",'[2]E-AV'!$I33)</f>
        <v>55</v>
      </c>
      <c r="E657" s="27"/>
      <c r="F657" s="27"/>
      <c r="H657" s="94">
        <f>IF('AV'!$I33="","",'AV'!$I33)</f>
        <v>55</v>
      </c>
      <c r="I657" s="29" t="str">
        <f t="shared" si="75"/>
        <v>Richtig!</v>
      </c>
      <c r="J657" s="30" t="str">
        <f t="shared" si="70"/>
        <v>-</v>
      </c>
      <c r="K657" s="23">
        <f t="shared" si="69"/>
      </c>
      <c r="L657" s="24">
        <f t="shared" si="71"/>
      </c>
      <c r="N657" s="841"/>
    </row>
    <row r="658" spans="1:14" ht="12.75" hidden="1">
      <c r="A658" s="18"/>
      <c r="B658" s="3" t="str">
        <f>IF('[2]E-AV'!B34="","-",'[2]E-AV'!B34)</f>
        <v>Zentrifuge</v>
      </c>
      <c r="C658" s="93" t="str">
        <f t="shared" si="74"/>
        <v>Jährl.  Afa</v>
      </c>
      <c r="D658" s="26">
        <f>IF('[2]E-AV'!$I34="","",'[2]E-AV'!$I34)</f>
        <v>0</v>
      </c>
      <c r="E658" s="27"/>
      <c r="F658" s="27"/>
      <c r="H658" s="94">
        <f>IF('AV'!$I34="","",'AV'!$I34)</f>
        <v>0</v>
      </c>
      <c r="I658" s="29" t="str">
        <f t="shared" si="75"/>
        <v>Richtig!</v>
      </c>
      <c r="J658" s="30" t="str">
        <f t="shared" si="70"/>
        <v>-</v>
      </c>
      <c r="K658" s="23">
        <f t="shared" si="69"/>
      </c>
      <c r="L658" s="24">
        <f t="shared" si="71"/>
      </c>
      <c r="N658" s="841"/>
    </row>
    <row r="659" spans="1:14" ht="12.75">
      <c r="A659" s="18"/>
      <c r="B659" s="3" t="str">
        <f>IF('[2]E-AV'!B35="","-",'[2]E-AV'!B35)</f>
        <v>Melkmaschine</v>
      </c>
      <c r="C659" s="93" t="str">
        <f t="shared" si="74"/>
        <v>Jährl.  Afa</v>
      </c>
      <c r="D659" s="26">
        <f>IF('[2]E-AV'!$I35="","",'[2]E-AV'!$I35)</f>
        <v>92.5</v>
      </c>
      <c r="E659" s="27"/>
      <c r="F659" s="27"/>
      <c r="H659" s="94">
        <f>IF('AV'!$I35="","",'AV'!$I35)</f>
      </c>
      <c r="I659" s="29" t="str">
        <f t="shared" si="75"/>
        <v>Fehlt</v>
      </c>
      <c r="J659" s="30">
        <f t="shared" si="70"/>
        <v>0</v>
      </c>
      <c r="K659" s="23" t="str">
        <f t="shared" si="69"/>
        <v>│</v>
      </c>
      <c r="L659" s="24">
        <f t="shared" si="71"/>
        <v>1</v>
      </c>
      <c r="N659" s="841" t="str">
        <f>IF($L$1="","",$L$1)</f>
        <v>x</v>
      </c>
    </row>
    <row r="660" spans="1:14" ht="12.75">
      <c r="A660" s="18"/>
      <c r="B660" s="3" t="str">
        <f>IF('[2]E-AV'!B36="","-",'[2]E-AV'!B36)</f>
        <v>Motorsäge</v>
      </c>
      <c r="C660" s="93" t="str">
        <f t="shared" si="74"/>
        <v>Jährl.  Afa</v>
      </c>
      <c r="D660" s="26">
        <f>IF('[2]E-AV'!$I36="","",'[2]E-AV'!$I36)</f>
        <v>0</v>
      </c>
      <c r="E660" s="27"/>
      <c r="F660" s="27"/>
      <c r="H660" s="94">
        <f>IF('AV'!$I36="","",'AV'!$I36)</f>
      </c>
      <c r="I660" s="29" t="str">
        <f t="shared" si="75"/>
        <v>Fehlt</v>
      </c>
      <c r="J660" s="30">
        <f t="shared" si="70"/>
        <v>0</v>
      </c>
      <c r="K660" s="23" t="str">
        <f t="shared" si="69"/>
        <v>│</v>
      </c>
      <c r="L660" s="24">
        <f t="shared" si="71"/>
        <v>1</v>
      </c>
      <c r="N660" s="841" t="str">
        <f>IF($L$1="","",$L$1)</f>
        <v>x</v>
      </c>
    </row>
    <row r="661" spans="1:14" ht="12.75" hidden="1">
      <c r="A661" s="18"/>
      <c r="B661" s="3" t="str">
        <f>IF('[2]E-AV'!B37="","-",'[2]E-AV'!B37)</f>
        <v>PKW-Anhänger</v>
      </c>
      <c r="C661" s="93" t="str">
        <f t="shared" si="74"/>
        <v>Jährl.  Afa</v>
      </c>
      <c r="D661" s="26">
        <f>IF('[2]E-AV'!$I37="","",'[2]E-AV'!$I37)</f>
        <v>38.75</v>
      </c>
      <c r="E661" s="27"/>
      <c r="F661" s="27"/>
      <c r="H661" s="94">
        <f>IF('AV'!$I37="","",'AV'!$I37)</f>
        <v>38.75</v>
      </c>
      <c r="I661" s="29" t="str">
        <f t="shared" si="75"/>
        <v>Richtig!</v>
      </c>
      <c r="J661" s="30" t="str">
        <f t="shared" si="70"/>
        <v>-</v>
      </c>
      <c r="K661" s="23">
        <f t="shared" si="69"/>
      </c>
      <c r="L661" s="24">
        <f t="shared" si="71"/>
      </c>
      <c r="N661" s="841"/>
    </row>
    <row r="662" spans="1:14" ht="12.75">
      <c r="A662" s="18"/>
      <c r="B662" s="3" t="str">
        <f>IF('[2]E-AV'!B38="","-",'[2]E-AV'!B38)</f>
        <v>Frontlader</v>
      </c>
      <c r="C662" s="93" t="str">
        <f t="shared" si="74"/>
        <v>Jährl.  Afa</v>
      </c>
      <c r="D662" s="26">
        <f>IF('[2]E-AV'!$I38="","",'[2]E-AV'!$I38)</f>
        <v>0</v>
      </c>
      <c r="E662" s="27"/>
      <c r="F662" s="27"/>
      <c r="H662" s="94">
        <f>IF('AV'!$I38="","",'AV'!$I38)</f>
      </c>
      <c r="I662" s="29" t="str">
        <f t="shared" si="75"/>
        <v>Fehlt</v>
      </c>
      <c r="J662" s="30">
        <f t="shared" si="70"/>
        <v>0</v>
      </c>
      <c r="K662" s="23" t="str">
        <f t="shared" si="69"/>
        <v>│</v>
      </c>
      <c r="L662" s="24">
        <f t="shared" si="71"/>
        <v>1</v>
      </c>
      <c r="N662" s="841" t="str">
        <f>IF($L$1="","",$L$1)</f>
        <v>x</v>
      </c>
    </row>
    <row r="663" spans="1:14" ht="12.75" hidden="1">
      <c r="A663" s="18"/>
      <c r="B663" s="3" t="str">
        <f>IF('[2]E-AV'!B39="","-",'[2]E-AV'!B39)</f>
        <v>Ackerschleppe</v>
      </c>
      <c r="C663" s="93" t="str">
        <f t="shared" si="74"/>
        <v>Jährl.  Afa</v>
      </c>
      <c r="D663" s="26">
        <f>IF('[2]E-AV'!$I39="","",'[2]E-AV'!$I39)</f>
        <v>0</v>
      </c>
      <c r="E663" s="27"/>
      <c r="F663" s="27"/>
      <c r="H663" s="94">
        <f>IF('AV'!$I39="","",'AV'!$I39)</f>
        <v>0</v>
      </c>
      <c r="I663" s="29" t="str">
        <f t="shared" si="75"/>
        <v>Richtig!</v>
      </c>
      <c r="J663" s="30" t="str">
        <f t="shared" si="70"/>
        <v>-</v>
      </c>
      <c r="K663" s="23">
        <f t="shared" si="69"/>
      </c>
      <c r="L663" s="24">
        <f t="shared" si="71"/>
      </c>
      <c r="N663" s="841"/>
    </row>
    <row r="664" spans="1:14" ht="12.75" hidden="1">
      <c r="A664" s="18"/>
      <c r="B664" s="3" t="str">
        <f>IF('[2]E-AV'!B40="","-",'[2]E-AV'!B40)</f>
        <v>-</v>
      </c>
      <c r="C664" s="93" t="str">
        <f t="shared" si="74"/>
        <v>Jährl.  Afa</v>
      </c>
      <c r="D664" s="26">
        <f>IF('[2]E-AV'!$I40="","",'[2]E-AV'!$I40)</f>
      </c>
      <c r="E664" s="27"/>
      <c r="F664" s="27"/>
      <c r="H664" s="94">
        <f>IF('AV'!$I40="","",'AV'!$I40)</f>
      </c>
      <c r="I664" s="29">
        <f t="shared" si="75"/>
      </c>
      <c r="J664" s="30" t="str">
        <f t="shared" si="70"/>
        <v>-</v>
      </c>
      <c r="K664" s="23">
        <f t="shared" si="69"/>
      </c>
      <c r="L664" s="24">
        <f t="shared" si="71"/>
      </c>
      <c r="N664" s="841"/>
    </row>
    <row r="665" spans="1:14" ht="12.75">
      <c r="A665" s="18"/>
      <c r="B665" s="92" t="str">
        <f>IF('[2]E-AV'!B41="","-",'[2]E-AV'!B41)</f>
        <v>Summe Maschinen und Geräte</v>
      </c>
      <c r="C665" s="93" t="str">
        <f t="shared" si="74"/>
        <v>Jährl.  Afa</v>
      </c>
      <c r="D665" s="31">
        <f>IF('[2]E-AV'!$I41="","",'[2]E-AV'!$I41)</f>
        <v>2124.315476190476</v>
      </c>
      <c r="E665" s="27"/>
      <c r="F665" s="32">
        <f>IF(AND(H645="",H646="",H647="",H648="",H649="",H650="",H651="",H652="",H653="",H654="",H655="",H656="",H657="",H658="",H659="",H660="",H661="",H662="",H663="",H664=""),"-",SUM(H645:H664))</f>
        <v>117.16666666666667</v>
      </c>
      <c r="H665" s="97">
        <f>IF('AV'!$I41="","",'AV'!$I41)</f>
      </c>
      <c r="I665" s="29" t="str">
        <f>IF(B665="","",IF(H665=D665,"Richtig!",IF(AND(D665&lt;&gt;H665,F665=H665),"Formel: OK",IF(H665="","Fehlt","Falsch"))))</f>
        <v>Fehlt</v>
      </c>
      <c r="J665" s="30">
        <f t="shared" si="70"/>
        <v>0</v>
      </c>
      <c r="K665" s="23" t="str">
        <f t="shared" si="69"/>
        <v>│</v>
      </c>
      <c r="L665" s="24">
        <f t="shared" si="71"/>
        <v>1</v>
      </c>
      <c r="N665" s="841" t="str">
        <f>IF($L$1="","",$L$1)</f>
        <v>x</v>
      </c>
    </row>
    <row r="666" spans="1:14" ht="12.75">
      <c r="A666" s="18"/>
      <c r="B666" s="18"/>
      <c r="C666" s="18"/>
      <c r="D666" s="19"/>
      <c r="H666" s="17"/>
      <c r="I666" s="21"/>
      <c r="J666" s="21"/>
      <c r="K666" s="23"/>
      <c r="L666" s="24">
        <f t="shared" si="71"/>
      </c>
      <c r="N666" s="842" t="str">
        <f>IF($L$1="","",$L$1)</f>
        <v>x</v>
      </c>
    </row>
    <row r="667" spans="1:14" ht="12.75">
      <c r="A667" s="17" t="s">
        <v>17</v>
      </c>
      <c r="B667" s="17" t="s">
        <v>83</v>
      </c>
      <c r="C667" s="18"/>
      <c r="D667" s="19">
        <f>IF('[2]E-AV'!$G42="","",'[2]E-AV'!$G42)</f>
      </c>
      <c r="H667" s="17">
        <f>IF('AV'!$G42="","",'AV'!$G42)</f>
      </c>
      <c r="I667" s="21"/>
      <c r="J667" s="21"/>
      <c r="K667" s="23">
        <f t="shared" si="69"/>
      </c>
      <c r="L667" s="24">
        <f t="shared" si="71"/>
      </c>
      <c r="N667" s="839" t="str">
        <f>IF($L$1="","",$L$1)</f>
        <v>x</v>
      </c>
    </row>
    <row r="668" spans="2:14" ht="12.75">
      <c r="B668" s="95" t="str">
        <f>IF('[2]E-AV'!B6="","-",'[2]E-AV'!B6)</f>
        <v>Grundverbesserungen</v>
      </c>
      <c r="C668" s="42"/>
      <c r="D668" s="19"/>
      <c r="H668" s="17"/>
      <c r="I668" s="29"/>
      <c r="J668" s="29"/>
      <c r="K668" s="23">
        <f t="shared" si="69"/>
      </c>
      <c r="L668" s="24">
        <f t="shared" si="71"/>
      </c>
      <c r="N668" s="839" t="str">
        <f>IF($L$1="","",$L$1)</f>
        <v>x</v>
      </c>
    </row>
    <row r="669" spans="1:14" ht="12.75" hidden="1">
      <c r="A669" s="18"/>
      <c r="B669" s="36" t="str">
        <f>IF('[2]E-AV'!B7="","-",'[2]E-AV'!B7)</f>
        <v>Maulwurfsdrainage</v>
      </c>
      <c r="C669" s="93" t="str">
        <f>MID($B$667,1,5)&amp;". "&amp;MID($B$667,10,7)&amp;"."</f>
        <v>Zeitw. 31. Dez.</v>
      </c>
      <c r="D669" s="31">
        <f>IF('[2]E-AV'!$J7="","",'[2]E-AV'!$J7)</f>
        <v>1</v>
      </c>
      <c r="E669" s="27"/>
      <c r="F669" s="32">
        <f>IF(AND(OR(H593="",H593="noch leer"),OR(H631="",H631="noch leer")),"-",IF(H593-H631=0,1,H593-H631))</f>
        <v>1</v>
      </c>
      <c r="H669" s="97">
        <f>IF('AV'!$J7="","",'AV'!$J7)</f>
        <v>1</v>
      </c>
      <c r="I669" s="29" t="str">
        <f>IF(B669="","",IF(H669=D669,"Richtig!",IF(AND(D669&lt;&gt;H669,F669=H669),"Formel: OK",IF(H669="","Fehlt","Falsch"))))</f>
        <v>Richtig!</v>
      </c>
      <c r="J669" s="30" t="str">
        <f t="shared" si="70"/>
        <v>-</v>
      </c>
      <c r="K669" s="23">
        <f t="shared" si="69"/>
      </c>
      <c r="L669" s="24">
        <f t="shared" si="71"/>
      </c>
      <c r="N669" s="841"/>
    </row>
    <row r="670" spans="1:14" ht="12.75" hidden="1">
      <c r="A670" s="18"/>
      <c r="B670" s="36" t="str">
        <f>IF('[2]E-AV'!B8="","-",'[2]E-AV'!B8)</f>
        <v>-</v>
      </c>
      <c r="C670" s="93" t="str">
        <f>MID($B$667,1,5)&amp;". "&amp;MID($B$667,10,7)&amp;"."</f>
        <v>Zeitw. 31. Dez.</v>
      </c>
      <c r="D670" s="31">
        <f>IF('[2]E-AV'!$J8="","",'[2]E-AV'!$J8)</f>
      </c>
      <c r="E670" s="27"/>
      <c r="F670" s="32" t="str">
        <f>IF(AND(OR(H594="",H594="noch leer"),OR(H632="",H632="noch leer")),"-",IF(H594-H632=0,1,H594-H632))</f>
        <v>-</v>
      </c>
      <c r="H670" s="97">
        <f>IF('AV'!$J8="","",'AV'!$J8)</f>
      </c>
      <c r="I670" s="29" t="str">
        <f>IF(B670="","",IF(H670=D670,"Richtig!",IF(AND(D670&lt;&gt;H670,F670=H670),"Formel: OK",IF(H670="","Fehlt","Falsch"))))</f>
        <v>Richtig!</v>
      </c>
      <c r="J670" s="30" t="str">
        <f t="shared" si="70"/>
        <v>-</v>
      </c>
      <c r="K670" s="23">
        <f t="shared" si="69"/>
      </c>
      <c r="L670" s="24">
        <f t="shared" si="71"/>
      </c>
      <c r="N670" s="841"/>
    </row>
    <row r="671" spans="1:14" ht="12.75">
      <c r="A671" s="18"/>
      <c r="B671" s="92" t="str">
        <f>IF('[2]E-AV'!B9="","-",'[2]E-AV'!B9)</f>
        <v>Summe Grundverbesserungen</v>
      </c>
      <c r="C671" s="93" t="str">
        <f>MID($B$667,1,5)&amp;". "&amp;MID($B$667,10,7)&amp;"."</f>
        <v>Zeitw. 31. Dez.</v>
      </c>
      <c r="D671" s="31">
        <f>IF('[2]E-AV'!$J9="","",'[2]E-AV'!$J9)</f>
        <v>1</v>
      </c>
      <c r="E671" s="27"/>
      <c r="F671" s="32">
        <f>IF(AND(H669="",H670=""),"-",SUM(H669:H670))</f>
        <v>1</v>
      </c>
      <c r="H671" s="97">
        <f>IF('AV'!$J9="","",'AV'!$J9)</f>
      </c>
      <c r="I671" s="29" t="str">
        <f>IF(B671="","",IF(H671=D671,"Richtig!",IF(AND(D671&lt;&gt;H671,F671=H671),"Formel: OK",IF(H671="","Fehlt","Falsch"))))</f>
        <v>Fehlt</v>
      </c>
      <c r="J671" s="30">
        <f t="shared" si="70"/>
        <v>0</v>
      </c>
      <c r="K671" s="23" t="str">
        <f t="shared" si="69"/>
        <v>│</v>
      </c>
      <c r="L671" s="24">
        <f t="shared" si="71"/>
        <v>1</v>
      </c>
      <c r="N671" s="841" t="str">
        <f>IF($L$1="","",$L$1)</f>
        <v>x</v>
      </c>
    </row>
    <row r="672" spans="2:14" ht="12.75">
      <c r="B672" s="95" t="str">
        <f>IF('[2]E-AV'!B10="","-",'[2]E-AV'!B10)</f>
        <v>Gebäude und bauliche Anlagen</v>
      </c>
      <c r="C672" s="93"/>
      <c r="D672" s="19"/>
      <c r="H672" s="17"/>
      <c r="I672" s="29"/>
      <c r="J672" s="29"/>
      <c r="K672" s="23">
        <f t="shared" si="69"/>
      </c>
      <c r="L672" s="24">
        <f t="shared" si="71"/>
      </c>
      <c r="N672" s="839" t="str">
        <f>IF($L$1="","",$L$1)</f>
        <v>x</v>
      </c>
    </row>
    <row r="673" spans="1:14" ht="12.75" hidden="1">
      <c r="A673" s="18"/>
      <c r="B673" s="36" t="str">
        <f>IF('[2]E-AV'!B11="","-",'[2]E-AV'!B11)</f>
        <v>Rinderstall (Warmstall)</v>
      </c>
      <c r="C673" s="93" t="str">
        <f aca="true" t="shared" si="76" ref="C673:C681">MID($B$667,1,5)&amp;". "&amp;MID($B$667,10,7)&amp;"."</f>
        <v>Zeitw. 31. Dez.</v>
      </c>
      <c r="D673" s="31">
        <f>IF('[2]E-AV'!$J11="","",'[2]E-AV'!$J11)</f>
        <v>111196.79999999999</v>
      </c>
      <c r="E673" s="27"/>
      <c r="F673" s="32" t="str">
        <f aca="true" t="shared" si="77" ref="F673:F680">IF(AND(OR(H597="",H597="noch leer"),OR(H635="",H635="noch leer")),"-",IF(H597-H635=0,1,H597-H635))</f>
        <v>-</v>
      </c>
      <c r="H673" s="97" t="str">
        <f>IF('AV'!$J11="","",'AV'!$J11)</f>
        <v>noch leer</v>
      </c>
      <c r="I673" s="29" t="str">
        <f aca="true" t="shared" si="78" ref="I673:I681">IF(B673="","",IF(H673=D673,"Richtig!",IF(AND(D673&lt;&gt;H673,F673=H673),"Formel: OK",IF(H673="","Fehlt","Falsch"))))</f>
        <v>Falsch</v>
      </c>
      <c r="J673" s="30" t="str">
        <f t="shared" si="70"/>
        <v>-</v>
      </c>
      <c r="K673" s="23">
        <f t="shared" si="69"/>
      </c>
      <c r="L673" s="24">
        <f t="shared" si="71"/>
      </c>
      <c r="N673" s="841"/>
    </row>
    <row r="674" spans="1:14" ht="12.75">
      <c r="A674" s="18"/>
      <c r="B674" s="36" t="str">
        <f>IF('[2]E-AV'!B12="","-",'[2]E-AV'!B12)</f>
        <v>Schweinestall</v>
      </c>
      <c r="C674" s="93" t="str">
        <f t="shared" si="76"/>
        <v>Zeitw. 31. Dez.</v>
      </c>
      <c r="D674" s="31">
        <f>IF('[2]E-AV'!$J12="","",'[2]E-AV'!$J12)</f>
        <v>12639.55</v>
      </c>
      <c r="E674" s="27"/>
      <c r="F674" s="32" t="str">
        <f t="shared" si="77"/>
        <v>-</v>
      </c>
      <c r="H674" s="97">
        <f>IF('AV'!$J12="","",'AV'!$J12)</f>
      </c>
      <c r="I674" s="29" t="str">
        <f t="shared" si="78"/>
        <v>Fehlt</v>
      </c>
      <c r="J674" s="30">
        <f t="shared" si="70"/>
        <v>0</v>
      </c>
      <c r="K674" s="23" t="str">
        <f t="shared" si="69"/>
        <v>│</v>
      </c>
      <c r="L674" s="24">
        <f t="shared" si="71"/>
        <v>1</v>
      </c>
      <c r="N674" s="841" t="str">
        <f>IF($L$1="","",$L$1)</f>
        <v>x</v>
      </c>
    </row>
    <row r="675" spans="1:14" ht="12.75" hidden="1">
      <c r="A675" s="18"/>
      <c r="B675" s="36" t="str">
        <f>IF('[2]E-AV'!B13="","-",'[2]E-AV'!B13)</f>
        <v>Milchverarbeitungsraum</v>
      </c>
      <c r="C675" s="93" t="str">
        <f t="shared" si="76"/>
        <v>Zeitw. 31. Dez.</v>
      </c>
      <c r="D675" s="31">
        <f>IF('[2]E-AV'!$J13="","",'[2]E-AV'!$J13)</f>
        <v>3664.5</v>
      </c>
      <c r="E675" s="27"/>
      <c r="F675" s="32">
        <f t="shared" si="77"/>
        <v>3664.5</v>
      </c>
      <c r="H675" s="97">
        <f>IF('AV'!$J13="","",'AV'!$J13)</f>
        <v>3664.5</v>
      </c>
      <c r="I675" s="29" t="str">
        <f t="shared" si="78"/>
        <v>Richtig!</v>
      </c>
      <c r="J675" s="30" t="str">
        <f t="shared" si="70"/>
        <v>-</v>
      </c>
      <c r="K675" s="23">
        <f t="shared" si="69"/>
      </c>
      <c r="L675" s="24">
        <f t="shared" si="71"/>
      </c>
      <c r="N675" s="841"/>
    </row>
    <row r="676" spans="1:14" ht="12.75" hidden="1">
      <c r="A676" s="18"/>
      <c r="B676" s="36" t="str">
        <f>IF('[2]E-AV'!B14="","-",'[2]E-AV'!B14)</f>
        <v>Maschinenschuppen</v>
      </c>
      <c r="C676" s="93" t="str">
        <f t="shared" si="76"/>
        <v>Zeitw. 31. Dez.</v>
      </c>
      <c r="D676" s="31">
        <f>IF('[2]E-AV'!$J14="","",'[2]E-AV'!$J14)</f>
        <v>226</v>
      </c>
      <c r="E676" s="27"/>
      <c r="F676" s="32">
        <f t="shared" si="77"/>
        <v>226</v>
      </c>
      <c r="H676" s="97">
        <f>IF('AV'!$J14="","",'AV'!$J14)</f>
        <v>226</v>
      </c>
      <c r="I676" s="29" t="str">
        <f t="shared" si="78"/>
        <v>Richtig!</v>
      </c>
      <c r="J676" s="30" t="str">
        <f t="shared" si="70"/>
        <v>-</v>
      </c>
      <c r="K676" s="23">
        <f t="shared" si="69"/>
      </c>
      <c r="L676" s="24">
        <f t="shared" si="71"/>
      </c>
      <c r="N676" s="841"/>
    </row>
    <row r="677" spans="1:14" ht="12.75" hidden="1">
      <c r="A677" s="18"/>
      <c r="B677" s="36" t="str">
        <f>IF('[2]E-AV'!B15="","-",'[2]E-AV'!B15)</f>
        <v>Garage mit Lagerraum</v>
      </c>
      <c r="C677" s="93" t="str">
        <f t="shared" si="76"/>
        <v>Zeitw. 31. Dez.</v>
      </c>
      <c r="D677" s="31">
        <f>IF('[2]E-AV'!$J15="","",'[2]E-AV'!$J15)</f>
        <v>12544</v>
      </c>
      <c r="E677" s="27"/>
      <c r="F677" s="32">
        <f t="shared" si="77"/>
        <v>12544</v>
      </c>
      <c r="H677" s="97">
        <f>IF('AV'!$J15="","",'AV'!$J15)</f>
        <v>12544</v>
      </c>
      <c r="I677" s="29" t="str">
        <f t="shared" si="78"/>
        <v>Richtig!</v>
      </c>
      <c r="J677" s="30" t="str">
        <f t="shared" si="70"/>
        <v>-</v>
      </c>
      <c r="K677" s="23">
        <f t="shared" si="69"/>
      </c>
      <c r="L677" s="24">
        <f t="shared" si="71"/>
      </c>
      <c r="N677" s="841"/>
    </row>
    <row r="678" spans="1:14" ht="12.75" hidden="1">
      <c r="A678" s="18"/>
      <c r="B678" s="36" t="str">
        <f>IF('[2]E-AV'!B16="","-",'[2]E-AV'!B16)</f>
        <v>-</v>
      </c>
      <c r="C678" s="93" t="str">
        <f t="shared" si="76"/>
        <v>Zeitw. 31. Dez.</v>
      </c>
      <c r="D678" s="31">
        <f>IF('[2]E-AV'!$J16="","",'[2]E-AV'!$J16)</f>
      </c>
      <c r="E678" s="27"/>
      <c r="F678" s="32" t="str">
        <f t="shared" si="77"/>
        <v>-</v>
      </c>
      <c r="H678" s="97">
        <f>IF('AV'!$J16="","",'AV'!$J16)</f>
      </c>
      <c r="I678" s="29" t="str">
        <f t="shared" si="78"/>
        <v>Richtig!</v>
      </c>
      <c r="J678" s="30" t="str">
        <f t="shared" si="70"/>
        <v>-</v>
      </c>
      <c r="K678" s="23">
        <f t="shared" si="69"/>
      </c>
      <c r="L678" s="24">
        <f t="shared" si="71"/>
      </c>
      <c r="N678" s="841"/>
    </row>
    <row r="679" spans="1:14" ht="12.75" hidden="1">
      <c r="A679" s="18"/>
      <c r="B679" s="36" t="str">
        <f>IF('[2]E-AV'!B17="","-",'[2]E-AV'!B17)</f>
        <v>-</v>
      </c>
      <c r="C679" s="93" t="str">
        <f t="shared" si="76"/>
        <v>Zeitw. 31. Dez.</v>
      </c>
      <c r="D679" s="31">
        <f>IF('[2]E-AV'!$J17="","",'[2]E-AV'!$J17)</f>
      </c>
      <c r="E679" s="27"/>
      <c r="F679" s="32" t="str">
        <f t="shared" si="77"/>
        <v>-</v>
      </c>
      <c r="H679" s="97">
        <f>IF('AV'!$J17="","",'AV'!$J17)</f>
      </c>
      <c r="I679" s="29" t="str">
        <f t="shared" si="78"/>
        <v>Richtig!</v>
      </c>
      <c r="J679" s="30" t="str">
        <f t="shared" si="70"/>
        <v>-</v>
      </c>
      <c r="K679" s="23">
        <f t="shared" si="69"/>
      </c>
      <c r="L679" s="24">
        <f t="shared" si="71"/>
      </c>
      <c r="N679" s="841"/>
    </row>
    <row r="680" spans="1:14" ht="12.75" hidden="1">
      <c r="A680" s="18"/>
      <c r="B680" s="36" t="str">
        <f>IF('[2]E-AV'!B18="","-",'[2]E-AV'!B18)</f>
        <v>-</v>
      </c>
      <c r="C680" s="93" t="str">
        <f t="shared" si="76"/>
        <v>Zeitw. 31. Dez.</v>
      </c>
      <c r="D680" s="31">
        <f>IF('[2]E-AV'!$J18="","",'[2]E-AV'!$J18)</f>
      </c>
      <c r="E680" s="27"/>
      <c r="F680" s="32" t="str">
        <f t="shared" si="77"/>
        <v>-</v>
      </c>
      <c r="H680" s="97">
        <f>IF('AV'!$J18="","",'AV'!$J18)</f>
      </c>
      <c r="I680" s="29" t="str">
        <f t="shared" si="78"/>
        <v>Richtig!</v>
      </c>
      <c r="J680" s="30" t="str">
        <f t="shared" si="70"/>
        <v>-</v>
      </c>
      <c r="K680" s="23">
        <f t="shared" si="69"/>
      </c>
      <c r="L680" s="24">
        <f t="shared" si="71"/>
      </c>
      <c r="N680" s="841"/>
    </row>
    <row r="681" spans="1:14" ht="12.75">
      <c r="A681" s="18"/>
      <c r="B681" s="92" t="str">
        <f>IF('[2]E-AV'!B19="","-",'[2]E-AV'!B19)</f>
        <v>Summe Gebäude und bauliche Anlagen</v>
      </c>
      <c r="C681" s="93" t="str">
        <f t="shared" si="76"/>
        <v>Zeitw. 31. Dez.</v>
      </c>
      <c r="D681" s="31">
        <f>IF('[2]E-AV'!$J19="","",'[2]E-AV'!$J19)</f>
        <v>140270.84999999998</v>
      </c>
      <c r="E681" s="27"/>
      <c r="F681" s="32">
        <f>IF(AND(H673="",H674="",H675="",H676="",H677="",H678="",H679="",H680=""),"-",SUM(H673:H680))</f>
        <v>16434.5</v>
      </c>
      <c r="H681" s="97">
        <f>IF('AV'!$J19="","",'AV'!$J19)</f>
      </c>
      <c r="I681" s="29" t="str">
        <f t="shared" si="78"/>
        <v>Fehlt</v>
      </c>
      <c r="J681" s="30">
        <f t="shared" si="70"/>
        <v>0</v>
      </c>
      <c r="K681" s="23" t="str">
        <f t="shared" si="69"/>
        <v>│</v>
      </c>
      <c r="L681" s="24">
        <f t="shared" si="71"/>
        <v>1</v>
      </c>
      <c r="N681" s="841" t="str">
        <f>IF($L$1="","",$L$1)</f>
        <v>x</v>
      </c>
    </row>
    <row r="682" spans="2:14" ht="12.75">
      <c r="B682" s="95" t="str">
        <f>IF('[2]E-AV'!B20="","-",'[2]E-AV'!B20)</f>
        <v>Maschinen und Geräte</v>
      </c>
      <c r="C682" s="93"/>
      <c r="D682" s="19"/>
      <c r="H682" s="17"/>
      <c r="I682" s="29"/>
      <c r="J682" s="29"/>
      <c r="K682" s="23">
        <f t="shared" si="69"/>
      </c>
      <c r="L682" s="24">
        <f t="shared" si="71"/>
      </c>
      <c r="N682" s="839" t="str">
        <f>IF($L$1="","",$L$1)</f>
        <v>x</v>
      </c>
    </row>
    <row r="683" spans="1:14" ht="12.75" hidden="1">
      <c r="A683" s="18"/>
      <c r="B683" s="36" t="str">
        <f>IF('[2]E-AV'!B21="","-",'[2]E-AV'!B21)</f>
        <v>Standardtraktor</v>
      </c>
      <c r="C683" s="93" t="str">
        <f aca="true" t="shared" si="79" ref="C683:C703">MID($B$667,1,5)&amp;". "&amp;MID($B$667,10,7)&amp;"."</f>
        <v>Zeitw. 31. Dez.</v>
      </c>
      <c r="D683" s="31">
        <f>IF('[2]E-AV'!$J21="","",'[2]E-AV'!$J21)</f>
        <v>3306.25</v>
      </c>
      <c r="E683" s="27"/>
      <c r="F683" s="32" t="str">
        <f aca="true" t="shared" si="80" ref="F683:F702">IF(AND(OR(H607="",H607="noch leer"),OR(H645="",H645="noch leer")),"-",IF(H607-H645=0,1,H607-H645))</f>
        <v>-</v>
      </c>
      <c r="H683" s="97" t="str">
        <f>IF('AV'!$J21="","",'AV'!$J21)</f>
        <v>noch leer</v>
      </c>
      <c r="I683" s="29" t="str">
        <f aca="true" t="shared" si="81" ref="I683:I703">IF(B683="","",IF(H683=D683,"Richtig!",IF(AND(D683&lt;&gt;H683,F683=H683),"Formel: OK",IF(H683="","Fehlt","Falsch"))))</f>
        <v>Falsch</v>
      </c>
      <c r="J683" s="30" t="str">
        <f t="shared" si="70"/>
        <v>-</v>
      </c>
      <c r="K683" s="23">
        <f t="shared" si="69"/>
      </c>
      <c r="L683" s="24">
        <f t="shared" si="71"/>
      </c>
      <c r="N683" s="841"/>
    </row>
    <row r="684" spans="1:14" ht="12.75" hidden="1">
      <c r="A684" s="18"/>
      <c r="B684" s="36" t="str">
        <f>IF('[2]E-AV'!B22="","-",'[2]E-AV'!B22)</f>
        <v>-</v>
      </c>
      <c r="C684" s="93" t="str">
        <f t="shared" si="79"/>
        <v>Zeitw. 31. Dez.</v>
      </c>
      <c r="D684" s="31">
        <f>IF('[2]E-AV'!$J22="","",'[2]E-AV'!$J22)</f>
      </c>
      <c r="E684" s="27"/>
      <c r="F684" s="32" t="str">
        <f t="shared" si="80"/>
        <v>-</v>
      </c>
      <c r="H684" s="97">
        <f>IF('AV'!$J22="","",'AV'!$J22)</f>
      </c>
      <c r="I684" s="29" t="str">
        <f t="shared" si="81"/>
        <v>Richtig!</v>
      </c>
      <c r="J684" s="30" t="str">
        <f t="shared" si="70"/>
        <v>-</v>
      </c>
      <c r="K684" s="23">
        <f t="shared" si="69"/>
      </c>
      <c r="L684" s="24">
        <f t="shared" si="71"/>
      </c>
      <c r="N684" s="841"/>
    </row>
    <row r="685" spans="1:14" ht="12.75" hidden="1">
      <c r="A685" s="18"/>
      <c r="B685" s="36" t="str">
        <f>IF('[2]E-AV'!B23="","-",'[2]E-AV'!B23)</f>
        <v>-</v>
      </c>
      <c r="C685" s="93" t="str">
        <f t="shared" si="79"/>
        <v>Zeitw. 31. Dez.</v>
      </c>
      <c r="D685" s="31">
        <f>IF('[2]E-AV'!$J23="","",'[2]E-AV'!$J23)</f>
      </c>
      <c r="E685" s="27"/>
      <c r="F685" s="32" t="str">
        <f t="shared" si="80"/>
        <v>-</v>
      </c>
      <c r="H685" s="97">
        <f>IF('AV'!$J23="","",'AV'!$J23)</f>
      </c>
      <c r="I685" s="29" t="str">
        <f t="shared" si="81"/>
        <v>Richtig!</v>
      </c>
      <c r="J685" s="30" t="str">
        <f t="shared" si="70"/>
        <v>-</v>
      </c>
      <c r="K685" s="23">
        <f aca="true" t="shared" si="82" ref="K685:K749">IF(L685="","","│")</f>
      </c>
      <c r="L685" s="24">
        <f t="shared" si="71"/>
      </c>
      <c r="N685" s="841"/>
    </row>
    <row r="686" spans="1:14" ht="12.75" hidden="1">
      <c r="A686" s="18"/>
      <c r="B686" s="36" t="str">
        <f>IF('[2]E-AV'!B24="","-",'[2]E-AV'!B24)</f>
        <v>Motormäher</v>
      </c>
      <c r="C686" s="93" t="str">
        <f t="shared" si="79"/>
        <v>Zeitw. 31. Dez.</v>
      </c>
      <c r="D686" s="31">
        <f>IF('[2]E-AV'!$J24="","",'[2]E-AV'!$J24)</f>
        <v>1</v>
      </c>
      <c r="E686" s="27"/>
      <c r="F686" s="32" t="str">
        <f t="shared" si="80"/>
        <v>-</v>
      </c>
      <c r="H686" s="97" t="str">
        <f>IF('AV'!$J24="","",'AV'!$J24)</f>
        <v>noch leer</v>
      </c>
      <c r="I686" s="29" t="str">
        <f t="shared" si="81"/>
        <v>Falsch</v>
      </c>
      <c r="J686" s="30" t="str">
        <f aca="true" t="shared" si="83" ref="J686:J749">IF(OR(B686="-",N686="",AND(D686="",H686="")),"-",IF(I686="Richtig!",1,IF(I686="Formel: OK",0.5,IF(OR(I686="Falsch",I686="Fehlt"),0,""))))</f>
        <v>-</v>
      </c>
      <c r="K686" s="23">
        <f t="shared" si="82"/>
      </c>
      <c r="L686" s="24">
        <f aca="true" t="shared" si="84" ref="L686:L749">IF(OR(B686="-",N686="",AND(D686="",H686="")),"",1)</f>
      </c>
      <c r="N686" s="841"/>
    </row>
    <row r="687" spans="1:14" ht="12.75" hidden="1">
      <c r="A687" s="18"/>
      <c r="B687" s="36" t="str">
        <f>IF('[2]E-AV'!B25="","-",'[2]E-AV'!B25)</f>
        <v>Ladewagen</v>
      </c>
      <c r="C687" s="93" t="str">
        <f t="shared" si="79"/>
        <v>Zeitw. 31. Dez.</v>
      </c>
      <c r="D687" s="31">
        <f>IF('[2]E-AV'!$J25="","",'[2]E-AV'!$J25)</f>
        <v>1</v>
      </c>
      <c r="E687" s="27"/>
      <c r="F687" s="32">
        <f t="shared" si="80"/>
        <v>1</v>
      </c>
      <c r="H687" s="97">
        <f>IF('AV'!$J25="","",'AV'!$J25)</f>
        <v>1</v>
      </c>
      <c r="I687" s="29" t="str">
        <f t="shared" si="81"/>
        <v>Richtig!</v>
      </c>
      <c r="J687" s="30" t="str">
        <f t="shared" si="83"/>
        <v>-</v>
      </c>
      <c r="K687" s="23">
        <f t="shared" si="82"/>
      </c>
      <c r="L687" s="24">
        <f t="shared" si="84"/>
      </c>
      <c r="N687" s="841"/>
    </row>
    <row r="688" spans="1:14" ht="12.75" hidden="1">
      <c r="A688" s="18"/>
      <c r="B688" s="36" t="str">
        <f>IF('[2]E-AV'!B26="","-",'[2]E-AV'!B26)</f>
        <v>Miststreuer</v>
      </c>
      <c r="C688" s="93" t="str">
        <f t="shared" si="79"/>
        <v>Zeitw. 31. Dez.</v>
      </c>
      <c r="D688" s="31">
        <f>IF('[2]E-AV'!$J26="","",'[2]E-AV'!$J26)</f>
        <v>1</v>
      </c>
      <c r="E688" s="27"/>
      <c r="F688" s="32">
        <f t="shared" si="80"/>
        <v>1</v>
      </c>
      <c r="H688" s="97">
        <f>IF('AV'!$J26="","",'AV'!$J26)</f>
        <v>1</v>
      </c>
      <c r="I688" s="29" t="str">
        <f t="shared" si="81"/>
        <v>Richtig!</v>
      </c>
      <c r="J688" s="30" t="str">
        <f t="shared" si="83"/>
        <v>-</v>
      </c>
      <c r="K688" s="23">
        <f t="shared" si="82"/>
      </c>
      <c r="L688" s="24">
        <f t="shared" si="84"/>
      </c>
      <c r="N688" s="841"/>
    </row>
    <row r="689" spans="1:14" ht="12.75" hidden="1">
      <c r="A689" s="18"/>
      <c r="B689" s="36" t="str">
        <f>IF('[2]E-AV'!B27="","-",'[2]E-AV'!B27)</f>
        <v>Mähwerk</v>
      </c>
      <c r="C689" s="93" t="str">
        <f t="shared" si="79"/>
        <v>Zeitw. 31. Dez.</v>
      </c>
      <c r="D689" s="31">
        <f>IF('[2]E-AV'!$J27="","",'[2]E-AV'!$J27)</f>
        <v>46.83333333333333</v>
      </c>
      <c r="E689" s="27"/>
      <c r="F689" s="32">
        <f t="shared" si="80"/>
        <v>46.83333333333333</v>
      </c>
      <c r="H689" s="97">
        <f>IF('AV'!$J27="","",'AV'!$J27)</f>
        <v>46.83333333333333</v>
      </c>
      <c r="I689" s="29" t="str">
        <f t="shared" si="81"/>
        <v>Richtig!</v>
      </c>
      <c r="J689" s="30" t="str">
        <f t="shared" si="83"/>
        <v>-</v>
      </c>
      <c r="K689" s="23">
        <f t="shared" si="82"/>
      </c>
      <c r="L689" s="24">
        <f t="shared" si="84"/>
      </c>
      <c r="N689" s="841"/>
    </row>
    <row r="690" spans="1:14" ht="12.75">
      <c r="A690" s="18"/>
      <c r="B690" s="36" t="str">
        <f>IF('[2]E-AV'!B28="","-",'[2]E-AV'!B28)</f>
        <v>Kreiselzetter</v>
      </c>
      <c r="C690" s="93" t="str">
        <f t="shared" si="79"/>
        <v>Zeitw. 31. Dez.</v>
      </c>
      <c r="D690" s="31">
        <f>IF('[2]E-AV'!$J28="","",'[2]E-AV'!$J28)</f>
        <v>1</v>
      </c>
      <c r="E690" s="27"/>
      <c r="F690" s="32" t="str">
        <f t="shared" si="80"/>
        <v>-</v>
      </c>
      <c r="H690" s="97">
        <f>IF('AV'!$J28="","",'AV'!$J28)</f>
      </c>
      <c r="I690" s="29" t="str">
        <f t="shared" si="81"/>
        <v>Fehlt</v>
      </c>
      <c r="J690" s="30">
        <f t="shared" si="83"/>
        <v>0</v>
      </c>
      <c r="K690" s="23" t="str">
        <f t="shared" si="82"/>
        <v>│</v>
      </c>
      <c r="L690" s="24">
        <f t="shared" si="84"/>
        <v>1</v>
      </c>
      <c r="N690" s="841" t="s">
        <v>11</v>
      </c>
    </row>
    <row r="691" spans="1:14" ht="12.75">
      <c r="A691" s="18"/>
      <c r="B691" s="36" t="str">
        <f>IF('[2]E-AV'!B29="","-",'[2]E-AV'!B29)</f>
        <v>Heuraupe</v>
      </c>
      <c r="C691" s="93" t="str">
        <f t="shared" si="79"/>
        <v>Zeitw. 31. Dez.</v>
      </c>
      <c r="D691" s="31">
        <f>IF('[2]E-AV'!$J29="","",'[2]E-AV'!$J29)</f>
        <v>148.66666666666683</v>
      </c>
      <c r="E691" s="27"/>
      <c r="F691" s="32" t="str">
        <f t="shared" si="80"/>
        <v>-</v>
      </c>
      <c r="H691" s="97">
        <f>IF('AV'!$J29="","",'AV'!$J29)</f>
      </c>
      <c r="I691" s="29" t="str">
        <f t="shared" si="81"/>
        <v>Fehlt</v>
      </c>
      <c r="J691" s="30">
        <f t="shared" si="83"/>
        <v>0</v>
      </c>
      <c r="K691" s="23" t="str">
        <f t="shared" si="82"/>
        <v>│</v>
      </c>
      <c r="L691" s="24">
        <f t="shared" si="84"/>
        <v>1</v>
      </c>
      <c r="N691" s="841" t="s">
        <v>11</v>
      </c>
    </row>
    <row r="692" spans="1:14" ht="12.75">
      <c r="A692" s="18"/>
      <c r="B692" s="36" t="str">
        <f>IF('[2]E-AV'!B30="","-",'[2]E-AV'!B30)</f>
        <v>Pflug</v>
      </c>
      <c r="C692" s="93" t="str">
        <f t="shared" si="79"/>
        <v>Zeitw. 31. Dez.</v>
      </c>
      <c r="D692" s="31">
        <f>IF('[2]E-AV'!$J30="","",'[2]E-AV'!$J30)</f>
        <v>338.57142857142844</v>
      </c>
      <c r="E692" s="27"/>
      <c r="F692" s="32" t="str">
        <f t="shared" si="80"/>
        <v>-</v>
      </c>
      <c r="H692" s="97">
        <f>IF('AV'!$J30="","",'AV'!$J30)</f>
      </c>
      <c r="I692" s="29" t="str">
        <f t="shared" si="81"/>
        <v>Fehlt</v>
      </c>
      <c r="J692" s="30">
        <f t="shared" si="83"/>
        <v>0</v>
      </c>
      <c r="K692" s="23" t="str">
        <f t="shared" si="82"/>
        <v>│</v>
      </c>
      <c r="L692" s="24">
        <f t="shared" si="84"/>
        <v>1</v>
      </c>
      <c r="N692" s="841" t="s">
        <v>11</v>
      </c>
    </row>
    <row r="693" spans="1:14" ht="12.75">
      <c r="A693" s="18"/>
      <c r="B693" s="36" t="str">
        <f>IF('[2]E-AV'!B31="","-",'[2]E-AV'!B31)</f>
        <v>Vakuumfass</v>
      </c>
      <c r="C693" s="93" t="str">
        <f t="shared" si="79"/>
        <v>Zeitw. 31. Dez.</v>
      </c>
      <c r="D693" s="31">
        <f>IF('[2]E-AV'!$J31="","",'[2]E-AV'!$J31)</f>
        <v>1</v>
      </c>
      <c r="E693" s="27"/>
      <c r="F693" s="32" t="str">
        <f t="shared" si="80"/>
        <v>-</v>
      </c>
      <c r="H693" s="97">
        <f>IF('AV'!$J31="","",'AV'!$J31)</f>
      </c>
      <c r="I693" s="29" t="str">
        <f t="shared" si="81"/>
        <v>Fehlt</v>
      </c>
      <c r="J693" s="30">
        <f t="shared" si="83"/>
        <v>0</v>
      </c>
      <c r="K693" s="23" t="str">
        <f t="shared" si="82"/>
        <v>│</v>
      </c>
      <c r="L693" s="24">
        <f t="shared" si="84"/>
        <v>1</v>
      </c>
      <c r="N693" s="841" t="str">
        <f>IF($L$1="","",$L$1)</f>
        <v>x</v>
      </c>
    </row>
    <row r="694" spans="1:14" ht="12.75" hidden="1">
      <c r="A694" s="18"/>
      <c r="B694" s="36" t="str">
        <f>IF('[2]E-AV'!B32="","-",'[2]E-AV'!B32)</f>
        <v>Gebläse</v>
      </c>
      <c r="C694" s="93" t="str">
        <f t="shared" si="79"/>
        <v>Zeitw. 31. Dez.</v>
      </c>
      <c r="D694" s="31">
        <f>IF('[2]E-AV'!$J32="","",'[2]E-AV'!$J32)</f>
        <v>1</v>
      </c>
      <c r="E694" s="27"/>
      <c r="F694" s="32">
        <f t="shared" si="80"/>
        <v>1</v>
      </c>
      <c r="H694" s="97">
        <f>IF('AV'!$J32="","",'AV'!$J32)</f>
        <v>1</v>
      </c>
      <c r="I694" s="29" t="str">
        <f t="shared" si="81"/>
        <v>Richtig!</v>
      </c>
      <c r="J694" s="30" t="str">
        <f t="shared" si="83"/>
        <v>-</v>
      </c>
      <c r="K694" s="23">
        <f t="shared" si="82"/>
      </c>
      <c r="L694" s="24">
        <f t="shared" si="84"/>
      </c>
      <c r="N694" s="841"/>
    </row>
    <row r="695" spans="1:14" ht="12.75" hidden="1">
      <c r="A695" s="18"/>
      <c r="B695" s="36" t="str">
        <f>IF('[2]E-AV'!B33="","-",'[2]E-AV'!B33)</f>
        <v>Butterfass</v>
      </c>
      <c r="C695" s="93" t="str">
        <f t="shared" si="79"/>
        <v>Zeitw. 31. Dez.</v>
      </c>
      <c r="D695" s="31">
        <f>IF('[2]E-AV'!$J33="","",'[2]E-AV'!$J33)</f>
        <v>330</v>
      </c>
      <c r="E695" s="27"/>
      <c r="F695" s="32">
        <f t="shared" si="80"/>
        <v>330</v>
      </c>
      <c r="H695" s="97">
        <f>IF('AV'!$J33="","",'AV'!$J33)</f>
        <v>330</v>
      </c>
      <c r="I695" s="29" t="str">
        <f t="shared" si="81"/>
        <v>Richtig!</v>
      </c>
      <c r="J695" s="30" t="str">
        <f t="shared" si="83"/>
        <v>-</v>
      </c>
      <c r="K695" s="23">
        <f t="shared" si="82"/>
      </c>
      <c r="L695" s="24">
        <f t="shared" si="84"/>
      </c>
      <c r="N695" s="841"/>
    </row>
    <row r="696" spans="1:14" ht="12.75" hidden="1">
      <c r="A696" s="18"/>
      <c r="B696" s="36" t="str">
        <f>IF('[2]E-AV'!B34="","-",'[2]E-AV'!B34)</f>
        <v>Zentrifuge</v>
      </c>
      <c r="C696" s="93" t="str">
        <f t="shared" si="79"/>
        <v>Zeitw. 31. Dez.</v>
      </c>
      <c r="D696" s="31">
        <f>IF('[2]E-AV'!$J34="","",'[2]E-AV'!$J34)</f>
        <v>1</v>
      </c>
      <c r="E696" s="27"/>
      <c r="F696" s="32">
        <f t="shared" si="80"/>
        <v>1</v>
      </c>
      <c r="H696" s="97">
        <f>IF('AV'!$J34="","",'AV'!$J34)</f>
        <v>1</v>
      </c>
      <c r="I696" s="29" t="str">
        <f t="shared" si="81"/>
        <v>Richtig!</v>
      </c>
      <c r="J696" s="30" t="str">
        <f t="shared" si="83"/>
        <v>-</v>
      </c>
      <c r="K696" s="23">
        <f t="shared" si="82"/>
      </c>
      <c r="L696" s="24">
        <f t="shared" si="84"/>
      </c>
      <c r="N696" s="841"/>
    </row>
    <row r="697" spans="1:14" ht="12.75">
      <c r="A697" s="18"/>
      <c r="B697" s="36" t="str">
        <f>IF('[2]E-AV'!B35="","-",'[2]E-AV'!B35)</f>
        <v>Melkmaschine</v>
      </c>
      <c r="C697" s="93" t="str">
        <f t="shared" si="79"/>
        <v>Zeitw. 31. Dez.</v>
      </c>
      <c r="D697" s="31">
        <f>IF('[2]E-AV'!$J35="","",'[2]E-AV'!$J35)</f>
        <v>740</v>
      </c>
      <c r="E697" s="27"/>
      <c r="F697" s="32" t="str">
        <f t="shared" si="80"/>
        <v>-</v>
      </c>
      <c r="H697" s="97">
        <f>IF('AV'!$J35="","",'AV'!$J35)</f>
      </c>
      <c r="I697" s="29" t="str">
        <f t="shared" si="81"/>
        <v>Fehlt</v>
      </c>
      <c r="J697" s="30">
        <f t="shared" si="83"/>
        <v>0</v>
      </c>
      <c r="K697" s="23" t="str">
        <f t="shared" si="82"/>
        <v>│</v>
      </c>
      <c r="L697" s="24">
        <f t="shared" si="84"/>
        <v>1</v>
      </c>
      <c r="N697" s="841" t="str">
        <f>IF($L$1="","",$L$1)</f>
        <v>x</v>
      </c>
    </row>
    <row r="698" spans="1:14" ht="12.75">
      <c r="A698" s="18"/>
      <c r="B698" s="36" t="str">
        <f>IF('[2]E-AV'!B36="","-",'[2]E-AV'!B36)</f>
        <v>Motorsäge</v>
      </c>
      <c r="C698" s="93" t="str">
        <f t="shared" si="79"/>
        <v>Zeitw. 31. Dez.</v>
      </c>
      <c r="D698" s="31">
        <f>IF('[2]E-AV'!$J36="","",'[2]E-AV'!$J36)</f>
        <v>1</v>
      </c>
      <c r="E698" s="27"/>
      <c r="F698" s="32" t="str">
        <f t="shared" si="80"/>
        <v>-</v>
      </c>
      <c r="H698" s="97">
        <f>IF('AV'!$J36="","",'AV'!$J36)</f>
      </c>
      <c r="I698" s="29" t="str">
        <f t="shared" si="81"/>
        <v>Fehlt</v>
      </c>
      <c r="J698" s="30">
        <f t="shared" si="83"/>
        <v>0</v>
      </c>
      <c r="K698" s="23" t="str">
        <f t="shared" si="82"/>
        <v>│</v>
      </c>
      <c r="L698" s="24">
        <f t="shared" si="84"/>
        <v>1</v>
      </c>
      <c r="N698" s="841" t="str">
        <f>IF($L$1="","",$L$1)</f>
        <v>x</v>
      </c>
    </row>
    <row r="699" spans="1:14" ht="12.75" hidden="1">
      <c r="A699" s="18"/>
      <c r="B699" s="36" t="str">
        <f>IF('[2]E-AV'!B37="","-",'[2]E-AV'!B37)</f>
        <v>PKW-Anhänger</v>
      </c>
      <c r="C699" s="93" t="str">
        <f t="shared" si="79"/>
        <v>Zeitw. 31. Dez.</v>
      </c>
      <c r="D699" s="31">
        <f>IF('[2]E-AV'!$J37="","",'[2]E-AV'!$J37)</f>
        <v>232.5</v>
      </c>
      <c r="E699" s="27"/>
      <c r="F699" s="32">
        <f t="shared" si="80"/>
        <v>232.5</v>
      </c>
      <c r="H699" s="97">
        <f>IF('AV'!$J37="","",'AV'!$J37)</f>
        <v>232.5</v>
      </c>
      <c r="I699" s="29" t="str">
        <f t="shared" si="81"/>
        <v>Richtig!</v>
      </c>
      <c r="J699" s="30" t="str">
        <f t="shared" si="83"/>
        <v>-</v>
      </c>
      <c r="K699" s="23">
        <f t="shared" si="82"/>
      </c>
      <c r="L699" s="24">
        <f t="shared" si="84"/>
      </c>
      <c r="N699" s="841"/>
    </row>
    <row r="700" spans="1:14" ht="12.75">
      <c r="A700" s="18"/>
      <c r="B700" s="36" t="str">
        <f>IF('[2]E-AV'!B38="","-",'[2]E-AV'!B38)</f>
        <v>Frontlader</v>
      </c>
      <c r="C700" s="93" t="str">
        <f t="shared" si="79"/>
        <v>Zeitw. 31. Dez.</v>
      </c>
      <c r="D700" s="31">
        <f>IF('[2]E-AV'!$J38="","",'[2]E-AV'!$J38)</f>
        <v>1</v>
      </c>
      <c r="E700" s="27"/>
      <c r="F700" s="32" t="str">
        <f t="shared" si="80"/>
        <v>-</v>
      </c>
      <c r="H700" s="97">
        <f>IF('AV'!$J38="","",'AV'!$J38)</f>
      </c>
      <c r="I700" s="29" t="str">
        <f t="shared" si="81"/>
        <v>Fehlt</v>
      </c>
      <c r="J700" s="30">
        <f t="shared" si="83"/>
        <v>0</v>
      </c>
      <c r="K700" s="23" t="str">
        <f t="shared" si="82"/>
        <v>│</v>
      </c>
      <c r="L700" s="24">
        <f t="shared" si="84"/>
        <v>1</v>
      </c>
      <c r="N700" s="841" t="str">
        <f>IF($L$1="","",$L$1)</f>
        <v>x</v>
      </c>
    </row>
    <row r="701" spans="1:14" ht="12.75" hidden="1">
      <c r="A701" s="18"/>
      <c r="B701" s="36" t="str">
        <f>IF('[2]E-AV'!B39="","-",'[2]E-AV'!B39)</f>
        <v>Ackerschleppe</v>
      </c>
      <c r="C701" s="93" t="str">
        <f t="shared" si="79"/>
        <v>Zeitw. 31. Dez.</v>
      </c>
      <c r="D701" s="31">
        <f>IF('[2]E-AV'!$J39="","",'[2]E-AV'!$J39)</f>
        <v>1</v>
      </c>
      <c r="E701" s="27"/>
      <c r="F701" s="32">
        <f t="shared" si="80"/>
        <v>1</v>
      </c>
      <c r="H701" s="97">
        <f>IF('AV'!$J39="","",'AV'!$J39)</f>
        <v>1</v>
      </c>
      <c r="I701" s="29" t="str">
        <f t="shared" si="81"/>
        <v>Richtig!</v>
      </c>
      <c r="J701" s="30" t="str">
        <f t="shared" si="83"/>
        <v>-</v>
      </c>
      <c r="K701" s="23">
        <f t="shared" si="82"/>
      </c>
      <c r="L701" s="24">
        <f t="shared" si="84"/>
      </c>
      <c r="N701" s="841"/>
    </row>
    <row r="702" spans="1:14" ht="12.75" hidden="1">
      <c r="A702" s="18"/>
      <c r="B702" s="36" t="str">
        <f>IF('[2]E-AV'!B40="","-",'[2]E-AV'!B40)</f>
        <v>-</v>
      </c>
      <c r="C702" s="93" t="str">
        <f t="shared" si="79"/>
        <v>Zeitw. 31. Dez.</v>
      </c>
      <c r="D702" s="31">
        <f>IF('[2]E-AV'!$J40="","",'[2]E-AV'!$J40)</f>
      </c>
      <c r="E702" s="27"/>
      <c r="F702" s="32" t="str">
        <f t="shared" si="80"/>
        <v>-</v>
      </c>
      <c r="H702" s="97">
        <f>IF('AV'!$J40="","",'AV'!$J40)</f>
      </c>
      <c r="I702" s="29" t="str">
        <f t="shared" si="81"/>
        <v>Richtig!</v>
      </c>
      <c r="J702" s="30" t="str">
        <f t="shared" si="83"/>
        <v>-</v>
      </c>
      <c r="K702" s="23">
        <f t="shared" si="82"/>
      </c>
      <c r="L702" s="24">
        <f t="shared" si="84"/>
      </c>
      <c r="N702" s="841"/>
    </row>
    <row r="703" spans="1:14" ht="12.75">
      <c r="A703" s="18"/>
      <c r="B703" s="92" t="str">
        <f>IF('[2]E-AV'!B41="","-",'[2]E-AV'!B41)</f>
        <v>Summe Maschinen und Geräte</v>
      </c>
      <c r="C703" s="93" t="str">
        <f t="shared" si="79"/>
        <v>Zeitw. 31. Dez.</v>
      </c>
      <c r="D703" s="31">
        <f>IF('[2]E-AV'!$J41="","",'[2]E-AV'!$J41)</f>
        <v>5152.821428571429</v>
      </c>
      <c r="E703" s="27"/>
      <c r="F703" s="32">
        <f>IF(AND(H683="",H684="",H685="",H686="",H687="",H688="",H689="",H690="",H691="",H692="",H693="",H694="",H695="",H696="",H697="",H698="",H699="",H700="",H701="",H702=""),"-",SUM(H683:H702))</f>
        <v>614.3333333333333</v>
      </c>
      <c r="H703" s="97">
        <f>IF('AV'!$J41="","",'AV'!$J41)</f>
      </c>
      <c r="I703" s="29" t="str">
        <f t="shared" si="81"/>
        <v>Fehlt</v>
      </c>
      <c r="J703" s="30">
        <f t="shared" si="83"/>
        <v>0</v>
      </c>
      <c r="K703" s="23" t="str">
        <f t="shared" si="82"/>
        <v>│</v>
      </c>
      <c r="L703" s="24">
        <f t="shared" si="84"/>
        <v>1</v>
      </c>
      <c r="N703" s="841" t="str">
        <f>IF($L$1="","",$L$1)</f>
        <v>x</v>
      </c>
    </row>
    <row r="704" spans="1:14" ht="19.5" customHeight="1">
      <c r="A704" s="18"/>
      <c r="B704" s="36"/>
      <c r="C704" s="42"/>
      <c r="D704" s="19"/>
      <c r="H704" s="17"/>
      <c r="I704" s="29"/>
      <c r="J704" s="29"/>
      <c r="K704" s="23">
        <f t="shared" si="82"/>
      </c>
      <c r="L704" s="24">
        <f t="shared" si="84"/>
      </c>
      <c r="N704" s="842" t="str">
        <f>IF($L$1="","",$L$1)</f>
        <v>x</v>
      </c>
    </row>
    <row r="705" spans="1:14" ht="22.5">
      <c r="A705" s="10" t="s">
        <v>84</v>
      </c>
      <c r="B705" s="11"/>
      <c r="C705" s="12"/>
      <c r="D705" s="13" t="s">
        <v>4</v>
      </c>
      <c r="E705" s="13"/>
      <c r="F705" s="14" t="s">
        <v>5</v>
      </c>
      <c r="G705" s="12"/>
      <c r="H705" s="14" t="s">
        <v>6</v>
      </c>
      <c r="I705" s="15" t="str">
        <f>"Fehler"</f>
        <v>Fehler</v>
      </c>
      <c r="J705" s="16" t="s">
        <v>7</v>
      </c>
      <c r="K705" s="16"/>
      <c r="L705" s="16"/>
      <c r="N705" s="840" t="str">
        <f>IF($L$1="","",$L$1)</f>
        <v>x</v>
      </c>
    </row>
    <row r="706" spans="1:14" ht="12.75" customHeight="1">
      <c r="A706" s="17" t="s">
        <v>9</v>
      </c>
      <c r="B706" s="17" t="s">
        <v>85</v>
      </c>
      <c r="C706" s="18"/>
      <c r="D706" s="19"/>
      <c r="H706" s="17"/>
      <c r="I706" s="21"/>
      <c r="J706" s="21"/>
      <c r="K706" s="23">
        <f t="shared" si="82"/>
      </c>
      <c r="L706" s="24">
        <f t="shared" si="84"/>
      </c>
      <c r="N706" s="839" t="str">
        <f>IF($L$1="","",$L$1)</f>
        <v>x</v>
      </c>
    </row>
    <row r="707" spans="2:14" ht="12.75" customHeight="1">
      <c r="B707" s="95" t="str">
        <f>IF(UV!B5="","-",UV!B5)</f>
        <v>RINDER</v>
      </c>
      <c r="C707" s="42"/>
      <c r="D707" s="19"/>
      <c r="H707" s="17"/>
      <c r="I707" s="29">
        <f aca="true" t="shared" si="85" ref="I707:I714">IF(OR(B707="-",AND(D707="",H707="")),"",IF(H707=D707,"Richtig!",IF(H707="","Fehlt","Falsch")))</f>
      </c>
      <c r="J707" s="29"/>
      <c r="K707" s="23">
        <f t="shared" si="82"/>
      </c>
      <c r="L707" s="24">
        <f t="shared" si="84"/>
      </c>
      <c r="N707" s="839" t="str">
        <f>IF($L$1="","",$L$1)</f>
        <v>x</v>
      </c>
    </row>
    <row r="708" spans="2:14" ht="12.75" customHeight="1" hidden="1">
      <c r="B708" s="3" t="str">
        <f>IF(UV!B6="","-",UV!B6)</f>
        <v>Milchkühe</v>
      </c>
      <c r="C708" s="93" t="str">
        <f aca="true" t="shared" si="86" ref="C708:C715">MID($B$706,1,11)&amp;"."</f>
        <v>Wert 1. Jän.</v>
      </c>
      <c r="D708" s="26">
        <f>IF('[2]E-UV'!$F6="","",'[2]E-UV'!$F6)</f>
        <v>4720</v>
      </c>
      <c r="E708" s="27"/>
      <c r="F708" s="27"/>
      <c r="H708" s="96">
        <f>IF(UV!$F6="","",UV!$F6)</f>
        <v>4720</v>
      </c>
      <c r="I708" s="29" t="str">
        <f t="shared" si="85"/>
        <v>Richtig!</v>
      </c>
      <c r="J708" s="30" t="str">
        <f t="shared" si="83"/>
        <v>-</v>
      </c>
      <c r="K708" s="23">
        <f t="shared" si="82"/>
      </c>
      <c r="L708" s="24">
        <f t="shared" si="84"/>
      </c>
      <c r="N708" s="841"/>
    </row>
    <row r="709" spans="1:14" ht="12.75">
      <c r="A709" s="18"/>
      <c r="B709" s="3" t="str">
        <f>IF(UV!B7="","-",UV!B7)</f>
        <v>Kalbinnen</v>
      </c>
      <c r="C709" s="93" t="str">
        <f t="shared" si="86"/>
        <v>Wert 1. Jän.</v>
      </c>
      <c r="D709" s="26">
        <f>IF('[2]E-UV'!$F7="","",'[2]E-UV'!$F7)</f>
        <v>2590</v>
      </c>
      <c r="E709" s="27"/>
      <c r="F709" s="27"/>
      <c r="H709" s="96">
        <f>IF(UV!$F7="","",UV!$F7)</f>
      </c>
      <c r="I709" s="29" t="str">
        <f t="shared" si="85"/>
        <v>Fehlt</v>
      </c>
      <c r="J709" s="30">
        <f t="shared" si="83"/>
        <v>0</v>
      </c>
      <c r="K709" s="23" t="str">
        <f t="shared" si="82"/>
        <v>│</v>
      </c>
      <c r="L709" s="24">
        <f t="shared" si="84"/>
        <v>1</v>
      </c>
      <c r="N709" s="841" t="str">
        <f>IF($L$1="","",$L$1)</f>
        <v>x</v>
      </c>
    </row>
    <row r="710" spans="1:14" ht="12.75">
      <c r="A710" s="18"/>
      <c r="B710" s="3" t="str">
        <f>IF(UV!B8="","-",UV!B8)</f>
        <v>Jungvieh 1 - 2 Jahre</v>
      </c>
      <c r="C710" s="93" t="str">
        <f t="shared" si="86"/>
        <v>Wert 1. Jän.</v>
      </c>
      <c r="D710" s="26">
        <f>IF('[2]E-UV'!$F8="","",'[2]E-UV'!$F8)</f>
        <v>860</v>
      </c>
      <c r="E710" s="27"/>
      <c r="F710" s="27"/>
      <c r="H710" s="96">
        <f>IF(UV!$F8="","",UV!$F8)</f>
      </c>
      <c r="I710" s="29" t="str">
        <f t="shared" si="85"/>
        <v>Fehlt</v>
      </c>
      <c r="J710" s="30">
        <f t="shared" si="83"/>
        <v>0</v>
      </c>
      <c r="K710" s="23" t="str">
        <f t="shared" si="82"/>
        <v>│</v>
      </c>
      <c r="L710" s="24">
        <f t="shared" si="84"/>
        <v>1</v>
      </c>
      <c r="N710" s="841" t="str">
        <f>IF($L$1="","",$L$1)</f>
        <v>x</v>
      </c>
    </row>
    <row r="711" spans="1:14" ht="12.75" hidden="1">
      <c r="A711" s="18"/>
      <c r="B711" s="3" t="str">
        <f>IF(UV!B9="","-",UV!B9)</f>
        <v>Jungvieh bis 1 Jahr</v>
      </c>
      <c r="C711" s="93" t="str">
        <f t="shared" si="86"/>
        <v>Wert 1. Jän.</v>
      </c>
      <c r="D711" s="26">
        <f>IF('[2]E-UV'!$F9="","",'[2]E-UV'!$F9)</f>
        <v>650</v>
      </c>
      <c r="E711" s="27"/>
      <c r="F711" s="27"/>
      <c r="H711" s="96">
        <f>IF(UV!$F9="","",UV!$F9)</f>
        <v>650</v>
      </c>
      <c r="I711" s="29" t="str">
        <f t="shared" si="85"/>
        <v>Richtig!</v>
      </c>
      <c r="J711" s="30" t="str">
        <f t="shared" si="83"/>
        <v>-</v>
      </c>
      <c r="K711" s="23">
        <f t="shared" si="82"/>
      </c>
      <c r="L711" s="24">
        <f t="shared" si="84"/>
      </c>
      <c r="N711" s="841"/>
    </row>
    <row r="712" spans="1:14" ht="12.75" hidden="1">
      <c r="A712" s="18"/>
      <c r="B712" s="3" t="str">
        <f>IF(UV!B10="","-",UV!B10)</f>
        <v>Einsteller</v>
      </c>
      <c r="C712" s="93" t="str">
        <f t="shared" si="86"/>
        <v>Wert 1. Jän.</v>
      </c>
      <c r="D712" s="26">
        <f>IF('[2]E-UV'!$F10="","",'[2]E-UV'!$F10)</f>
        <v>792</v>
      </c>
      <c r="E712" s="27"/>
      <c r="F712" s="27"/>
      <c r="H712" s="96">
        <f>IF(UV!$F10="","",UV!$F10)</f>
        <v>792</v>
      </c>
      <c r="I712" s="29" t="str">
        <f t="shared" si="85"/>
        <v>Richtig!</v>
      </c>
      <c r="J712" s="30" t="str">
        <f t="shared" si="83"/>
        <v>-</v>
      </c>
      <c r="K712" s="23">
        <f t="shared" si="82"/>
      </c>
      <c r="L712" s="24">
        <f t="shared" si="84"/>
      </c>
      <c r="N712" s="841"/>
    </row>
    <row r="713" spans="1:14" ht="12.75" hidden="1">
      <c r="A713" s="18"/>
      <c r="B713" s="3" t="str">
        <f>IF(UV!B11="","-",UV!B11)</f>
        <v>-</v>
      </c>
      <c r="C713" s="93" t="str">
        <f t="shared" si="86"/>
        <v>Wert 1. Jän.</v>
      </c>
      <c r="D713" s="26">
        <f>IF('[2]E-UV'!$F11="","",'[2]E-UV'!$F11)</f>
      </c>
      <c r="E713" s="27"/>
      <c r="F713" s="27"/>
      <c r="H713" s="96">
        <f>IF(UV!$F11="","",UV!$F11)</f>
      </c>
      <c r="I713" s="29">
        <f t="shared" si="85"/>
      </c>
      <c r="J713" s="30" t="str">
        <f t="shared" si="83"/>
        <v>-</v>
      </c>
      <c r="K713" s="23">
        <f t="shared" si="82"/>
      </c>
      <c r="L713" s="24">
        <f t="shared" si="84"/>
      </c>
      <c r="N713" s="841"/>
    </row>
    <row r="714" spans="1:14" ht="12.75" hidden="1">
      <c r="A714" s="18"/>
      <c r="B714" s="3" t="str">
        <f>IF(UV!B12="","-",UV!B12)</f>
        <v>-</v>
      </c>
      <c r="C714" s="93" t="str">
        <f t="shared" si="86"/>
        <v>Wert 1. Jän.</v>
      </c>
      <c r="D714" s="26">
        <f>IF('[2]E-UV'!$F12="","",'[2]E-UV'!$F12)</f>
      </c>
      <c r="E714" s="27"/>
      <c r="F714" s="27"/>
      <c r="H714" s="96">
        <f>IF(UV!$F12="","",UV!$F12)</f>
      </c>
      <c r="I714" s="29">
        <f t="shared" si="85"/>
      </c>
      <c r="J714" s="30" t="str">
        <f t="shared" si="83"/>
        <v>-</v>
      </c>
      <c r="K714" s="23">
        <f t="shared" si="82"/>
      </c>
      <c r="L714" s="24">
        <f t="shared" si="84"/>
      </c>
      <c r="N714" s="841"/>
    </row>
    <row r="715" spans="1:14" ht="12.75">
      <c r="A715" s="18"/>
      <c r="B715" s="92" t="str">
        <f>IF(UV!B13="","-",UV!B13)</f>
        <v>Summe Rinder</v>
      </c>
      <c r="C715" s="93" t="str">
        <f t="shared" si="86"/>
        <v>Wert 1. Jän.</v>
      </c>
      <c r="D715" s="31">
        <f>IF('[2]E-UV'!$F13="","",'[2]E-UV'!$F13)</f>
        <v>9612</v>
      </c>
      <c r="E715" s="27"/>
      <c r="F715" s="32">
        <f>IF(AND(H708="",H709="",H710="",H711="",H712="",H713="",H714=""),"-",SUM(H708:H714))</f>
        <v>6162</v>
      </c>
      <c r="H715" s="97">
        <f>IF(UV!$F13="","",UV!$F13)</f>
      </c>
      <c r="I715" s="29" t="str">
        <f>IF(B715="","",IF(H715=D715,"Richtig!",IF(AND(D715&lt;&gt;H715,F715=H715),"Formel: OK",IF(H715="","Fehlt","Falsch"))))</f>
        <v>Fehlt</v>
      </c>
      <c r="J715" s="30">
        <f t="shared" si="83"/>
        <v>0</v>
      </c>
      <c r="K715" s="23" t="str">
        <f t="shared" si="82"/>
        <v>│</v>
      </c>
      <c r="L715" s="24">
        <f t="shared" si="84"/>
        <v>1</v>
      </c>
      <c r="N715" s="841" t="str">
        <f>IF($L$1="","",$L$1)</f>
        <v>x</v>
      </c>
    </row>
    <row r="716" spans="2:14" ht="12.75" customHeight="1" hidden="1">
      <c r="B716" s="95" t="str">
        <f>IF(UV!B21="","-",UV!B21)</f>
        <v>SCHWEINE</v>
      </c>
      <c r="C716" s="93"/>
      <c r="D716" s="19">
        <f>IF('[2]E-UV'!$F21="","",'[2]E-UV'!$F21)</f>
      </c>
      <c r="H716" s="5">
        <f>IF(UV!$F21="","",UV!$F21)</f>
      </c>
      <c r="I716" s="29">
        <f aca="true" t="shared" si="87" ref="I716:I721">IF(OR(B716="-",AND(D716="",H716="")),"",IF(H716=D716,"Richtig!",IF(H716="","Fehlt","Falsch")))</f>
      </c>
      <c r="J716" s="29"/>
      <c r="K716" s="23">
        <f t="shared" si="82"/>
      </c>
      <c r="L716" s="24">
        <f t="shared" si="84"/>
      </c>
      <c r="N716" s="839"/>
    </row>
    <row r="717" spans="1:14" ht="12.75" hidden="1">
      <c r="A717" s="18"/>
      <c r="B717" s="3" t="str">
        <f>IF(UV!B22="","-",UV!B22)</f>
        <v>Mastschweine</v>
      </c>
      <c r="C717" s="93" t="str">
        <f aca="true" t="shared" si="88" ref="C717:C722">MID($B$706,1,11)&amp;"."</f>
        <v>Wert 1. Jän.</v>
      </c>
      <c r="D717" s="26">
        <f>IF('[2]E-UV'!$F22="","",'[2]E-UV'!$F22)</f>
        <v>660</v>
      </c>
      <c r="E717" s="27"/>
      <c r="F717" s="27"/>
      <c r="H717" s="96">
        <f>IF(UV!$F22="","",UV!$F22)</f>
        <v>660</v>
      </c>
      <c r="I717" s="29" t="str">
        <f t="shared" si="87"/>
        <v>Richtig!</v>
      </c>
      <c r="J717" s="30" t="str">
        <f t="shared" si="83"/>
        <v>-</v>
      </c>
      <c r="K717" s="23">
        <f t="shared" si="82"/>
      </c>
      <c r="L717" s="24">
        <f t="shared" si="84"/>
      </c>
      <c r="N717" s="841"/>
    </row>
    <row r="718" spans="1:14" ht="12.75" hidden="1">
      <c r="A718" s="18"/>
      <c r="B718" s="3" t="str">
        <f>IF(UV!B23="","-",UV!B23)</f>
        <v>-</v>
      </c>
      <c r="C718" s="93" t="str">
        <f t="shared" si="88"/>
        <v>Wert 1. Jän.</v>
      </c>
      <c r="D718" s="26">
        <f>IF('[2]E-UV'!$F23="","",'[2]E-UV'!$F23)</f>
      </c>
      <c r="E718" s="27"/>
      <c r="F718" s="27"/>
      <c r="H718" s="96">
        <f>IF(UV!$F23="","",UV!$F23)</f>
      </c>
      <c r="I718" s="29">
        <f t="shared" si="87"/>
      </c>
      <c r="J718" s="30" t="str">
        <f t="shared" si="83"/>
        <v>-</v>
      </c>
      <c r="K718" s="23">
        <f t="shared" si="82"/>
      </c>
      <c r="L718" s="24">
        <f t="shared" si="84"/>
      </c>
      <c r="N718" s="841"/>
    </row>
    <row r="719" spans="1:14" ht="12.75" hidden="1">
      <c r="A719" s="18"/>
      <c r="B719" s="3" t="str">
        <f>IF(UV!B24="","-",UV!B24)</f>
        <v>-</v>
      </c>
      <c r="C719" s="93" t="str">
        <f t="shared" si="88"/>
        <v>Wert 1. Jän.</v>
      </c>
      <c r="D719" s="26">
        <f>IF('[2]E-UV'!$F24="","",'[2]E-UV'!$F24)</f>
      </c>
      <c r="E719" s="27"/>
      <c r="F719" s="27"/>
      <c r="H719" s="96">
        <f>IF(UV!$F24="","",UV!$F24)</f>
      </c>
      <c r="I719" s="29">
        <f t="shared" si="87"/>
      </c>
      <c r="J719" s="30" t="str">
        <f t="shared" si="83"/>
        <v>-</v>
      </c>
      <c r="K719" s="23">
        <f t="shared" si="82"/>
      </c>
      <c r="L719" s="24">
        <f t="shared" si="84"/>
      </c>
      <c r="N719" s="841"/>
    </row>
    <row r="720" spans="1:14" ht="12.75" hidden="1">
      <c r="A720" s="18"/>
      <c r="B720" s="3" t="str">
        <f>IF(UV!B25="","-",UV!B25)</f>
        <v>-</v>
      </c>
      <c r="C720" s="93" t="str">
        <f t="shared" si="88"/>
        <v>Wert 1. Jän.</v>
      </c>
      <c r="D720" s="26">
        <f>IF('[2]E-UV'!$F25="","",'[2]E-UV'!$F25)</f>
      </c>
      <c r="E720" s="27"/>
      <c r="F720" s="27"/>
      <c r="H720" s="96">
        <f>IF(UV!$F25="","",UV!$F25)</f>
      </c>
      <c r="I720" s="29">
        <f t="shared" si="87"/>
      </c>
      <c r="J720" s="30" t="str">
        <f t="shared" si="83"/>
        <v>-</v>
      </c>
      <c r="K720" s="23">
        <f t="shared" si="82"/>
      </c>
      <c r="L720" s="24">
        <f t="shared" si="84"/>
      </c>
      <c r="N720" s="841"/>
    </row>
    <row r="721" spans="1:14" ht="12.75" hidden="1">
      <c r="A721" s="18"/>
      <c r="B721" s="3" t="str">
        <f>IF(UV!B26="","-",UV!B26)</f>
        <v>-</v>
      </c>
      <c r="C721" s="93" t="str">
        <f t="shared" si="88"/>
        <v>Wert 1. Jän.</v>
      </c>
      <c r="D721" s="26">
        <f>IF('[2]E-UV'!$F26="","",'[2]E-UV'!$F26)</f>
      </c>
      <c r="E721" s="27"/>
      <c r="F721" s="27"/>
      <c r="H721" s="96">
        <f>IF(UV!$F26="","",UV!$F26)</f>
      </c>
      <c r="I721" s="29">
        <f t="shared" si="87"/>
      </c>
      <c r="J721" s="30" t="str">
        <f t="shared" si="83"/>
        <v>-</v>
      </c>
      <c r="K721" s="23">
        <f t="shared" si="82"/>
      </c>
      <c r="L721" s="24">
        <f t="shared" si="84"/>
      </c>
      <c r="N721" s="841"/>
    </row>
    <row r="722" spans="1:14" ht="12.75" hidden="1">
      <c r="A722" s="18"/>
      <c r="B722" s="92" t="str">
        <f>IF(UV!B27="","-",UV!B27)</f>
        <v>Summe Schweine</v>
      </c>
      <c r="C722" s="93" t="str">
        <f t="shared" si="88"/>
        <v>Wert 1. Jän.</v>
      </c>
      <c r="D722" s="31">
        <f>IF('[2]E-UV'!$F27="","",'[2]E-UV'!$F27)</f>
        <v>660</v>
      </c>
      <c r="E722" s="27"/>
      <c r="F722" s="32">
        <f>IF(AND(H717="",H718="",H719="",H720="",H721=""),"-",SUM(H717:H721))</f>
        <v>660</v>
      </c>
      <c r="H722" s="97">
        <f>IF(UV!$F27="","",UV!$F27)</f>
        <v>660</v>
      </c>
      <c r="I722" s="29" t="str">
        <f>IF(B722="","",IF(H722=D722,"Richtig!",IF(AND(D722&lt;&gt;H722,F722=H722),"Formel: OK",IF(H722="","Fehlt","Falsch"))))</f>
        <v>Richtig!</v>
      </c>
      <c r="J722" s="30" t="str">
        <f t="shared" si="83"/>
        <v>-</v>
      </c>
      <c r="K722" s="23">
        <f t="shared" si="82"/>
      </c>
      <c r="L722" s="24">
        <f t="shared" si="84"/>
      </c>
      <c r="N722" s="841"/>
    </row>
    <row r="723" spans="2:14" ht="12.75" customHeight="1">
      <c r="B723" s="95" t="str">
        <f>IF(UV!B30="","-",UV!B30)</f>
        <v>Selbst erzeugte Vorräte</v>
      </c>
      <c r="C723" s="93"/>
      <c r="D723" s="19">
        <f>IF('[2]E-UV'!$F30="","",'[2]E-UV'!$F30)</f>
      </c>
      <c r="H723" s="5">
        <f>IF(UV!$F30="","",UV!$F30)</f>
      </c>
      <c r="I723" s="29"/>
      <c r="J723" s="29"/>
      <c r="K723" s="23">
        <f t="shared" si="82"/>
      </c>
      <c r="L723" s="24">
        <f t="shared" si="84"/>
      </c>
      <c r="N723" s="839" t="str">
        <f>IF($L$1="","",$L$1)</f>
        <v>x</v>
      </c>
    </row>
    <row r="724" spans="2:14" ht="12.75" customHeight="1">
      <c r="B724" s="3" t="str">
        <f>IF(UV!B31="","-",UV!B31)</f>
        <v>Gerste</v>
      </c>
      <c r="C724" s="93" t="str">
        <f aca="true" t="shared" si="89" ref="C724:C729">MID($B$706,1,11)&amp;"."</f>
        <v>Wert 1. Jän.</v>
      </c>
      <c r="D724" s="26">
        <f>IF('[2]E-UV'!$F31="","",'[2]E-UV'!$F31)</f>
        <v>3.25</v>
      </c>
      <c r="E724" s="27"/>
      <c r="F724" s="27"/>
      <c r="H724" s="96">
        <f>IF(UV!$F31="","",UV!$F31)</f>
      </c>
      <c r="I724" s="29" t="str">
        <f>IF(OR(B724="-",AND(D724="",H724="")),"",IF(H724=D724,"Richtig!",IF(H724="","Fehlt","Falsch")))</f>
        <v>Fehlt</v>
      </c>
      <c r="J724" s="30">
        <f t="shared" si="83"/>
        <v>0</v>
      </c>
      <c r="K724" s="23" t="str">
        <f t="shared" si="82"/>
        <v>│</v>
      </c>
      <c r="L724" s="24">
        <f t="shared" si="84"/>
        <v>1</v>
      </c>
      <c r="N724" s="841" t="s">
        <v>11</v>
      </c>
    </row>
    <row r="725" spans="1:14" ht="12.75">
      <c r="A725" s="18"/>
      <c r="B725" s="3" t="str">
        <f>IF(UV!B32="","-",UV!B32)</f>
        <v>Hafer</v>
      </c>
      <c r="C725" s="93" t="str">
        <f t="shared" si="89"/>
        <v>Wert 1. Jän.</v>
      </c>
      <c r="D725" s="26">
        <f>IF('[2]E-UV'!$F32="","",'[2]E-UV'!$F32)</f>
        <v>0.56</v>
      </c>
      <c r="E725" s="27"/>
      <c r="F725" s="27"/>
      <c r="H725" s="96">
        <f>IF(UV!$F32="","",UV!$F32)</f>
      </c>
      <c r="I725" s="29" t="str">
        <f>IF(OR(B725="-",AND(D725="",H725="")),"",IF(H725=D725,"Richtig!",IF(H725="","Fehlt","Falsch")))</f>
        <v>Fehlt</v>
      </c>
      <c r="J725" s="30">
        <f t="shared" si="83"/>
        <v>0</v>
      </c>
      <c r="K725" s="23" t="str">
        <f t="shared" si="82"/>
        <v>│</v>
      </c>
      <c r="L725" s="24">
        <f t="shared" si="84"/>
        <v>1</v>
      </c>
      <c r="N725" s="841" t="s">
        <v>11</v>
      </c>
    </row>
    <row r="726" spans="1:14" ht="12.75">
      <c r="A726" s="18"/>
      <c r="B726" s="3" t="str">
        <f>IF(UV!B33="","-",UV!B33)</f>
        <v>Kartoffel</v>
      </c>
      <c r="C726" s="93" t="str">
        <f t="shared" si="89"/>
        <v>Wert 1. Jän.</v>
      </c>
      <c r="D726" s="26">
        <f>IF('[2]E-UV'!$F33="","",'[2]E-UV'!$F33)</f>
        <v>101.50000000000001</v>
      </c>
      <c r="E726" s="27"/>
      <c r="F726" s="27"/>
      <c r="H726" s="96">
        <f>IF(UV!$F33="","",UV!$F33)</f>
      </c>
      <c r="I726" s="29" t="str">
        <f>IF(OR(B726="-",AND(D726="",H726="")),"",IF(H726=D726,"Richtig!",IF(H726="","Fehlt","Falsch")))</f>
        <v>Fehlt</v>
      </c>
      <c r="J726" s="30">
        <f t="shared" si="83"/>
        <v>0</v>
      </c>
      <c r="K726" s="23" t="str">
        <f t="shared" si="82"/>
        <v>│</v>
      </c>
      <c r="L726" s="24">
        <f t="shared" si="84"/>
        <v>1</v>
      </c>
      <c r="N726" s="841" t="str">
        <f>IF($L$1="","",$L$1)</f>
        <v>x</v>
      </c>
    </row>
    <row r="727" spans="1:14" ht="12.75" hidden="1">
      <c r="A727" s="18"/>
      <c r="B727" s="3" t="str">
        <f>IF(UV!B34="","-",UV!B34)</f>
        <v>-</v>
      </c>
      <c r="C727" s="93" t="str">
        <f t="shared" si="89"/>
        <v>Wert 1. Jän.</v>
      </c>
      <c r="D727" s="26">
        <f>IF('[2]E-UV'!$F34="","",'[2]E-UV'!$F34)</f>
      </c>
      <c r="E727" s="27"/>
      <c r="F727" s="27"/>
      <c r="H727" s="96">
        <f>IF(UV!$F34="","",UV!$F34)</f>
      </c>
      <c r="I727" s="29">
        <f>IF(OR(B727="-",AND(D727="",H727="")),"",IF(H727=D727,"Richtig!",IF(H727="","Fehlt","Falsch")))</f>
      </c>
      <c r="J727" s="30" t="str">
        <f t="shared" si="83"/>
        <v>-</v>
      </c>
      <c r="K727" s="23">
        <f t="shared" si="82"/>
      </c>
      <c r="L727" s="24">
        <f t="shared" si="84"/>
      </c>
      <c r="N727" s="841"/>
    </row>
    <row r="728" spans="1:14" ht="12.75" hidden="1">
      <c r="A728" s="18"/>
      <c r="B728" s="3" t="str">
        <f>IF(UV!B35="","-",UV!B35)</f>
        <v>-</v>
      </c>
      <c r="C728" s="93" t="str">
        <f t="shared" si="89"/>
        <v>Wert 1. Jän.</v>
      </c>
      <c r="D728" s="26">
        <f>IF('[2]E-UV'!$F35="","",'[2]E-UV'!$F35)</f>
      </c>
      <c r="E728" s="27"/>
      <c r="F728" s="27"/>
      <c r="H728" s="96">
        <f>IF(UV!$F35="","",UV!$F35)</f>
      </c>
      <c r="I728" s="29">
        <f>IF(OR(B728="-",AND(D728="",H728="")),"",IF(H728=D728,"Richtig!",IF(H728="","Fehlt","Falsch")))</f>
      </c>
      <c r="J728" s="30" t="str">
        <f t="shared" si="83"/>
        <v>-</v>
      </c>
      <c r="K728" s="23">
        <f t="shared" si="82"/>
      </c>
      <c r="L728" s="24">
        <f t="shared" si="84"/>
      </c>
      <c r="N728" s="841"/>
    </row>
    <row r="729" spans="1:14" ht="12.75">
      <c r="A729" s="18"/>
      <c r="B729" s="92" t="str">
        <f>IF(UV!B36="","-",UV!B36)</f>
        <v>Summe selbst erzeugte Vorräte</v>
      </c>
      <c r="C729" s="93" t="str">
        <f t="shared" si="89"/>
        <v>Wert 1. Jän.</v>
      </c>
      <c r="D729" s="31">
        <f>IF('[2]E-UV'!$F36="","",'[2]E-UV'!$F36)</f>
        <v>105.31000000000002</v>
      </c>
      <c r="E729" s="27"/>
      <c r="F729" s="32" t="str">
        <f>IF(AND(H724="",H725="",H726="",H727="",H728=""),"-",SUM(H724:H728))</f>
        <v>-</v>
      </c>
      <c r="H729" s="97">
        <f>IF(UV!$F36="","",UV!$F36)</f>
      </c>
      <c r="I729" s="29" t="str">
        <f>IF(B729="","",IF(H729=D729,"Richtig!",IF(AND(D729&lt;&gt;H729,F729=H729),"Formel: OK",IF(H729="","Fehlt","Falsch"))))</f>
        <v>Fehlt</v>
      </c>
      <c r="J729" s="30">
        <f t="shared" si="83"/>
        <v>0</v>
      </c>
      <c r="K729" s="23" t="str">
        <f t="shared" si="82"/>
        <v>│</v>
      </c>
      <c r="L729" s="24">
        <f t="shared" si="84"/>
        <v>1</v>
      </c>
      <c r="N729" s="841" t="str">
        <f>IF($L$1="","",$L$1)</f>
        <v>x</v>
      </c>
    </row>
    <row r="730" spans="1:14" ht="12.75" hidden="1">
      <c r="A730" s="18"/>
      <c r="B730" s="95" t="str">
        <f>IF(UV!B44="","-",UV!B44)</f>
        <v>Zugekaufte Vorräte</v>
      </c>
      <c r="C730" s="93"/>
      <c r="D730" s="19">
        <f>IF('[2]E-UV'!$F44="","",'[2]E-UV'!$F44)</f>
      </c>
      <c r="H730" s="5">
        <f>IF(UV!$F44="","",UV!$F44)</f>
      </c>
      <c r="I730" s="29"/>
      <c r="J730" s="29"/>
      <c r="K730" s="23">
        <f t="shared" si="82"/>
      </c>
      <c r="L730" s="24">
        <f t="shared" si="84"/>
      </c>
      <c r="N730" s="839"/>
    </row>
    <row r="731" spans="1:14" ht="12.75" hidden="1">
      <c r="A731" s="18"/>
      <c r="B731" s="3" t="str">
        <f>IF(UV!B45="","-",UV!B45)</f>
        <v>Milchkraftfutter</v>
      </c>
      <c r="C731" s="93" t="str">
        <f aca="true" t="shared" si="90" ref="C731:C736">MID($B$706,1,11)&amp;"."</f>
        <v>Wert 1. Jän.</v>
      </c>
      <c r="D731" s="26">
        <f>IF('[2]E-UV'!$F45="","",'[2]E-UV'!$F45)</f>
        <v>67.60000000000001</v>
      </c>
      <c r="E731" s="27"/>
      <c r="F731" s="27"/>
      <c r="H731" s="96">
        <f>IF(UV!$F45="","",UV!$F45)</f>
        <v>67.60000000000001</v>
      </c>
      <c r="I731" s="29" t="str">
        <f>IF(OR(B731="-",AND(D731="",H731="")),"",IF(H731=D731,"Richtig!",IF(H731="","Fehlt","Falsch")))</f>
        <v>Richtig!</v>
      </c>
      <c r="J731" s="30" t="str">
        <f t="shared" si="83"/>
        <v>-</v>
      </c>
      <c r="K731" s="23">
        <f t="shared" si="82"/>
      </c>
      <c r="L731" s="24">
        <f t="shared" si="84"/>
      </c>
      <c r="N731" s="841"/>
    </row>
    <row r="732" spans="1:14" ht="12.75" hidden="1">
      <c r="A732" s="18"/>
      <c r="B732" s="3" t="str">
        <f>IF(UV!B46="","-",UV!B46)</f>
        <v>Weizenschrot</v>
      </c>
      <c r="C732" s="93" t="str">
        <f t="shared" si="90"/>
        <v>Wert 1. Jän.</v>
      </c>
      <c r="D732" s="26">
        <f>IF('[2]E-UV'!$F46="","",'[2]E-UV'!$F46)</f>
        <v>38.870000000000005</v>
      </c>
      <c r="E732" s="27"/>
      <c r="F732" s="27"/>
      <c r="H732" s="96">
        <f>IF(UV!$F46="","",UV!$F46)</f>
        <v>38.870000000000005</v>
      </c>
      <c r="I732" s="29" t="str">
        <f>IF(OR(B732="-",AND(D732="",H732="")),"",IF(H732=D732,"Richtig!",IF(H732="","Fehlt","Falsch")))</f>
        <v>Richtig!</v>
      </c>
      <c r="J732" s="30" t="str">
        <f t="shared" si="83"/>
        <v>-</v>
      </c>
      <c r="K732" s="23">
        <f t="shared" si="82"/>
      </c>
      <c r="L732" s="24">
        <f t="shared" si="84"/>
      </c>
      <c r="N732" s="841"/>
    </row>
    <row r="733" spans="1:14" ht="12.75" hidden="1">
      <c r="A733" s="18"/>
      <c r="B733" s="3" t="str">
        <f>IF(UV!B47="","-",UV!B47)</f>
        <v>Erbsenschrot</v>
      </c>
      <c r="C733" s="93" t="str">
        <f t="shared" si="90"/>
        <v>Wert 1. Jän.</v>
      </c>
      <c r="D733" s="26">
        <f>IF('[2]E-UV'!$F47="","",'[2]E-UV'!$F47)</f>
        <v>12.1</v>
      </c>
      <c r="E733" s="27"/>
      <c r="F733" s="27"/>
      <c r="H733" s="96">
        <f>IF(UV!$F47="","",UV!$F47)</f>
        <v>12.1</v>
      </c>
      <c r="I733" s="29" t="str">
        <f>IF(OR(B733="-",AND(D733="",H733="")),"",IF(H733=D733,"Richtig!",IF(H733="","Fehlt","Falsch")))</f>
        <v>Richtig!</v>
      </c>
      <c r="J733" s="30" t="str">
        <f t="shared" si="83"/>
        <v>-</v>
      </c>
      <c r="K733" s="23">
        <f t="shared" si="82"/>
      </c>
      <c r="L733" s="24">
        <f t="shared" si="84"/>
      </c>
      <c r="N733" s="841"/>
    </row>
    <row r="734" spans="1:14" ht="12.75" hidden="1">
      <c r="A734" s="18"/>
      <c r="B734" s="3" t="str">
        <f>IF(UV!B48="","-",UV!B48)</f>
        <v>-</v>
      </c>
      <c r="C734" s="93" t="str">
        <f t="shared" si="90"/>
        <v>Wert 1. Jän.</v>
      </c>
      <c r="D734" s="26">
        <f>IF('[2]E-UV'!$F48="","",'[2]E-UV'!$F48)</f>
      </c>
      <c r="E734" s="27"/>
      <c r="F734" s="27"/>
      <c r="H734" s="96">
        <f>IF(UV!$F48="","",UV!$F48)</f>
      </c>
      <c r="I734" s="29">
        <f>IF(OR(B734="-",AND(D734="",H734="")),"",IF(H734=D734,"Richtig!",IF(H734="","Fehlt","Falsch")))</f>
      </c>
      <c r="J734" s="30" t="str">
        <f t="shared" si="83"/>
        <v>-</v>
      </c>
      <c r="K734" s="23">
        <f t="shared" si="82"/>
      </c>
      <c r="L734" s="24">
        <f t="shared" si="84"/>
      </c>
      <c r="N734" s="841"/>
    </row>
    <row r="735" spans="1:14" ht="12.75" hidden="1">
      <c r="A735" s="18"/>
      <c r="B735" s="3" t="str">
        <f>IF(UV!B49="","-",UV!B49)</f>
        <v>-</v>
      </c>
      <c r="C735" s="93" t="str">
        <f t="shared" si="90"/>
        <v>Wert 1. Jän.</v>
      </c>
      <c r="D735" s="26">
        <f>IF('[2]E-UV'!$F49="","",'[2]E-UV'!$F49)</f>
      </c>
      <c r="E735" s="27"/>
      <c r="F735" s="27"/>
      <c r="H735" s="96">
        <f>IF(UV!$F49="","",UV!$F49)</f>
      </c>
      <c r="I735" s="29">
        <f>IF(OR(B735="-",AND(D735="",H735="")),"",IF(H735=D735,"Richtig!",IF(H735="","Fehlt","Falsch")))</f>
      </c>
      <c r="J735" s="30" t="str">
        <f t="shared" si="83"/>
        <v>-</v>
      </c>
      <c r="K735" s="23">
        <f t="shared" si="82"/>
      </c>
      <c r="L735" s="24">
        <f t="shared" si="84"/>
      </c>
      <c r="N735" s="841"/>
    </row>
    <row r="736" spans="1:14" ht="12.75" hidden="1">
      <c r="A736" s="18"/>
      <c r="B736" s="92" t="str">
        <f>IF(UV!B50="","-",UV!B50)</f>
        <v>Summe zugekaufte Vorräte</v>
      </c>
      <c r="C736" s="93" t="str">
        <f t="shared" si="90"/>
        <v>Wert 1. Jän.</v>
      </c>
      <c r="D736" s="31">
        <f>IF('[2]E-UV'!$F50="","",'[2]E-UV'!$F50)</f>
        <v>118.57000000000001</v>
      </c>
      <c r="E736" s="27"/>
      <c r="F736" s="32">
        <f>IF(AND(H731="",H732="",H733="",H734="",H735=""),"-",SUM(H731:H735))</f>
        <v>118.57000000000001</v>
      </c>
      <c r="H736" s="97">
        <f>IF(UV!$F50="","",UV!$F50)</f>
        <v>118.57000000000001</v>
      </c>
      <c r="I736" s="29" t="str">
        <f>IF(B736="","",IF(H736=D736,"Richtig!",IF(AND(D736&lt;&gt;H736,F736=H736),"Formel: OK",IF(H736="","Fehlt","Falsch"))))</f>
        <v>Richtig!</v>
      </c>
      <c r="J736" s="30" t="str">
        <f t="shared" si="83"/>
        <v>-</v>
      </c>
      <c r="K736" s="23">
        <f t="shared" si="82"/>
      </c>
      <c r="L736" s="24">
        <f t="shared" si="84"/>
      </c>
      <c r="N736" s="841"/>
    </row>
    <row r="737" spans="1:14" ht="12.75">
      <c r="A737" s="18"/>
      <c r="B737" s="36"/>
      <c r="C737" s="93"/>
      <c r="D737" s="19"/>
      <c r="E737" s="27"/>
      <c r="H737" s="5"/>
      <c r="I737" s="29"/>
      <c r="J737" s="29"/>
      <c r="K737" s="23"/>
      <c r="L737" s="24">
        <f t="shared" si="84"/>
      </c>
      <c r="N737" s="842" t="str">
        <f>IF($L$1="","",$L$1)</f>
        <v>x</v>
      </c>
    </row>
    <row r="738" spans="1:14" ht="12.75" customHeight="1">
      <c r="A738" s="17" t="s">
        <v>12</v>
      </c>
      <c r="B738" s="17" t="s">
        <v>86</v>
      </c>
      <c r="C738" s="18"/>
      <c r="D738" s="19"/>
      <c r="H738" s="5"/>
      <c r="I738" s="21"/>
      <c r="J738" s="21"/>
      <c r="K738" s="23">
        <f t="shared" si="82"/>
      </c>
      <c r="L738" s="24">
        <f t="shared" si="84"/>
      </c>
      <c r="N738" s="839" t="str">
        <f>IF($L$1="","",$L$1)</f>
        <v>x</v>
      </c>
    </row>
    <row r="739" spans="2:14" ht="12.75">
      <c r="B739" s="95" t="str">
        <f>IF(UV!B5="","-",UV!B5)</f>
        <v>RINDER</v>
      </c>
      <c r="C739" s="42"/>
      <c r="D739" s="19"/>
      <c r="H739" s="5"/>
      <c r="I739" s="29">
        <f aca="true" t="shared" si="91" ref="I739:I746">IF(OR(B739="-",AND(D739="",H739="")),"",IF(H739=D739,"Richtig!",IF(H739="","Fehlt","Falsch")))</f>
      </c>
      <c r="J739" s="29"/>
      <c r="K739" s="23">
        <f t="shared" si="82"/>
      </c>
      <c r="L739" s="24">
        <f t="shared" si="84"/>
      </c>
      <c r="N739" s="839" t="str">
        <f>IF($L$1="","",$L$1)</f>
        <v>x</v>
      </c>
    </row>
    <row r="740" spans="2:14" ht="12.75" hidden="1">
      <c r="B740" s="3" t="str">
        <f>IF(UV!B6="","-",UV!B6)</f>
        <v>Milchkühe</v>
      </c>
      <c r="C740" s="93" t="str">
        <f aca="true" t="shared" si="92" ref="C740:C747">MID($B$738,1,12)&amp;"."</f>
        <v>Wert 31. Dez.</v>
      </c>
      <c r="D740" s="26">
        <f>IF('[2]E-UV'!$I6="","",'[2]E-UV'!$I6)</f>
        <v>4720</v>
      </c>
      <c r="E740" s="27"/>
      <c r="F740" s="27"/>
      <c r="H740" s="96">
        <f>IF(UV!$I6="","",UV!$I6)</f>
        <v>4720</v>
      </c>
      <c r="I740" s="29" t="str">
        <f t="shared" si="91"/>
        <v>Richtig!</v>
      </c>
      <c r="J740" s="30" t="str">
        <f t="shared" si="83"/>
        <v>-</v>
      </c>
      <c r="K740" s="23">
        <f t="shared" si="82"/>
      </c>
      <c r="L740" s="24">
        <f t="shared" si="84"/>
      </c>
      <c r="N740" s="841"/>
    </row>
    <row r="741" spans="1:14" ht="12.75">
      <c r="A741" s="18"/>
      <c r="B741" s="3" t="str">
        <f>IF(UV!B7="","-",UV!B7)</f>
        <v>Kalbinnen</v>
      </c>
      <c r="C741" s="93" t="str">
        <f t="shared" si="92"/>
        <v>Wert 31. Dez.</v>
      </c>
      <c r="D741" s="26">
        <f>IF('[2]E-UV'!$I7="","",'[2]E-UV'!$I7)</f>
        <v>3885</v>
      </c>
      <c r="E741" s="27"/>
      <c r="F741" s="27"/>
      <c r="H741" s="96">
        <f>IF(UV!$I7="","",UV!$I7)</f>
      </c>
      <c r="I741" s="29" t="str">
        <f t="shared" si="91"/>
        <v>Fehlt</v>
      </c>
      <c r="J741" s="30">
        <f t="shared" si="83"/>
        <v>0</v>
      </c>
      <c r="K741" s="23" t="str">
        <f t="shared" si="82"/>
        <v>│</v>
      </c>
      <c r="L741" s="24">
        <f t="shared" si="84"/>
        <v>1</v>
      </c>
      <c r="N741" s="841" t="str">
        <f>IF($L$1="","",$L$1)</f>
        <v>x</v>
      </c>
    </row>
    <row r="742" spans="1:14" ht="12.75">
      <c r="A742" s="18"/>
      <c r="B742" s="3" t="str">
        <f>IF(UV!B8="","-",UV!B8)</f>
        <v>Jungvieh 1 - 2 Jahre</v>
      </c>
      <c r="C742" s="93" t="str">
        <f t="shared" si="92"/>
        <v>Wert 31. Dez.</v>
      </c>
      <c r="D742" s="26">
        <f>IF('[2]E-UV'!$I8="","",'[2]E-UV'!$I8)</f>
        <v>860</v>
      </c>
      <c r="E742" s="27"/>
      <c r="F742" s="27"/>
      <c r="H742" s="96">
        <f>IF(UV!$I8="","",UV!$I8)</f>
      </c>
      <c r="I742" s="29" t="str">
        <f t="shared" si="91"/>
        <v>Fehlt</v>
      </c>
      <c r="J742" s="30">
        <f t="shared" si="83"/>
        <v>0</v>
      </c>
      <c r="K742" s="23" t="str">
        <f t="shared" si="82"/>
        <v>│</v>
      </c>
      <c r="L742" s="24">
        <f t="shared" si="84"/>
        <v>1</v>
      </c>
      <c r="N742" s="841" t="str">
        <f>IF($L$1="","",$L$1)</f>
        <v>x</v>
      </c>
    </row>
    <row r="743" spans="1:14" ht="12.75" hidden="1">
      <c r="A743" s="18"/>
      <c r="B743" s="3" t="str">
        <f>IF(UV!B9="","-",UV!B9)</f>
        <v>Jungvieh bis 1 Jahr</v>
      </c>
      <c r="C743" s="93" t="str">
        <f t="shared" si="92"/>
        <v>Wert 31. Dez.</v>
      </c>
      <c r="D743" s="26">
        <f>IF('[2]E-UV'!$I9="","",'[2]E-UV'!$I9)</f>
        <v>1300</v>
      </c>
      <c r="E743" s="27"/>
      <c r="F743" s="27"/>
      <c r="H743" s="96">
        <f>IF(UV!$I9="","",UV!$I9)</f>
        <v>1300</v>
      </c>
      <c r="I743" s="29" t="str">
        <f t="shared" si="91"/>
        <v>Richtig!</v>
      </c>
      <c r="J743" s="30" t="str">
        <f t="shared" si="83"/>
        <v>-</v>
      </c>
      <c r="K743" s="23">
        <f t="shared" si="82"/>
      </c>
      <c r="L743" s="24">
        <f t="shared" si="84"/>
      </c>
      <c r="N743" s="841"/>
    </row>
    <row r="744" spans="1:14" ht="12.75" hidden="1">
      <c r="A744" s="18"/>
      <c r="B744" s="3" t="str">
        <f>IF(UV!B10="","-",UV!B10)</f>
        <v>Einsteller</v>
      </c>
      <c r="C744" s="93" t="str">
        <f t="shared" si="92"/>
        <v>Wert 31. Dez.</v>
      </c>
      <c r="D744" s="26">
        <f>IF('[2]E-UV'!$I10="","",'[2]E-UV'!$I10)</f>
        <v>396</v>
      </c>
      <c r="E744" s="27"/>
      <c r="F744" s="27"/>
      <c r="H744" s="96">
        <f>IF(UV!$I10="","",UV!$I10)</f>
        <v>396</v>
      </c>
      <c r="I744" s="29" t="str">
        <f t="shared" si="91"/>
        <v>Richtig!</v>
      </c>
      <c r="J744" s="30" t="str">
        <f t="shared" si="83"/>
        <v>-</v>
      </c>
      <c r="K744" s="23">
        <f t="shared" si="82"/>
      </c>
      <c r="L744" s="24">
        <f t="shared" si="84"/>
      </c>
      <c r="N744" s="841"/>
    </row>
    <row r="745" spans="1:14" ht="12.75" hidden="1">
      <c r="A745" s="18"/>
      <c r="B745" s="3" t="str">
        <f>IF(UV!B11="","-",UV!B11)</f>
        <v>-</v>
      </c>
      <c r="C745" s="93" t="str">
        <f t="shared" si="92"/>
        <v>Wert 31. Dez.</v>
      </c>
      <c r="D745" s="26">
        <f>IF('[2]E-UV'!$I11="","",'[2]E-UV'!$I11)</f>
      </c>
      <c r="E745" s="27"/>
      <c r="F745" s="27"/>
      <c r="H745" s="96">
        <f>IF(UV!$I11="","",UV!$I11)</f>
      </c>
      <c r="I745" s="29">
        <f t="shared" si="91"/>
      </c>
      <c r="J745" s="30" t="str">
        <f t="shared" si="83"/>
        <v>-</v>
      </c>
      <c r="K745" s="23">
        <f t="shared" si="82"/>
      </c>
      <c r="L745" s="24">
        <f t="shared" si="84"/>
      </c>
      <c r="N745" s="841"/>
    </row>
    <row r="746" spans="1:14" ht="12.75" hidden="1">
      <c r="A746" s="18"/>
      <c r="B746" s="3" t="str">
        <f>IF(UV!B12="","-",UV!B12)</f>
        <v>-</v>
      </c>
      <c r="C746" s="93" t="str">
        <f t="shared" si="92"/>
        <v>Wert 31. Dez.</v>
      </c>
      <c r="D746" s="26">
        <f>IF('[2]E-UV'!$I12="","",'[2]E-UV'!$I12)</f>
      </c>
      <c r="E746" s="27"/>
      <c r="F746" s="27"/>
      <c r="H746" s="96">
        <f>IF(UV!$I12="","",UV!$I12)</f>
      </c>
      <c r="I746" s="29">
        <f t="shared" si="91"/>
      </c>
      <c r="J746" s="30" t="str">
        <f t="shared" si="83"/>
        <v>-</v>
      </c>
      <c r="K746" s="23">
        <f t="shared" si="82"/>
      </c>
      <c r="L746" s="24">
        <f t="shared" si="84"/>
      </c>
      <c r="N746" s="841"/>
    </row>
    <row r="747" spans="1:14" ht="12.75">
      <c r="A747" s="18"/>
      <c r="B747" s="92" t="str">
        <f>IF(UV!B13="","-",UV!B13)</f>
        <v>Summe Rinder</v>
      </c>
      <c r="C747" s="93" t="str">
        <f t="shared" si="92"/>
        <v>Wert 31. Dez.</v>
      </c>
      <c r="D747" s="31">
        <f>IF('[2]E-UV'!$I13="","",'[2]E-UV'!$I13)</f>
        <v>11161</v>
      </c>
      <c r="E747" s="27"/>
      <c r="F747" s="32">
        <f>IF(AND(H740="",H741="",H742="",H743="",H744="",H745="",H746=""),"-",SUM(H740:H746))</f>
        <v>6416</v>
      </c>
      <c r="H747" s="97">
        <f>IF(UV!$I13="","",UV!$I13)</f>
      </c>
      <c r="I747" s="29" t="str">
        <f>IF(B747="","",IF(H747=D747,"Richtig!",IF(AND(D747&lt;&gt;H747,F747=H747),"Formel: OK",IF(H747="","Fehlt","Falsch"))))</f>
        <v>Fehlt</v>
      </c>
      <c r="J747" s="30">
        <f t="shared" si="83"/>
        <v>0</v>
      </c>
      <c r="K747" s="23" t="str">
        <f t="shared" si="82"/>
        <v>│</v>
      </c>
      <c r="L747" s="24">
        <f t="shared" si="84"/>
        <v>1</v>
      </c>
      <c r="N747" s="841" t="str">
        <f>IF($L$1="","",$L$1)</f>
        <v>x</v>
      </c>
    </row>
    <row r="748" spans="2:14" ht="12.75" hidden="1">
      <c r="B748" s="95" t="str">
        <f>IF(UV!B21="","-",UV!B21)</f>
        <v>SCHWEINE</v>
      </c>
      <c r="C748" s="93"/>
      <c r="D748" s="19">
        <f>IF('[2]E-UV'!$I21="","",'[2]E-UV'!$I21)</f>
      </c>
      <c r="H748" s="5">
        <f>IF(UV!$I21="","",UV!$I21)</f>
      </c>
      <c r="I748" s="29">
        <f aca="true" t="shared" si="93" ref="I748:I753">IF(OR(B748="-",AND(D748="",H748="")),"",IF(H748=D748,"Richtig!",IF(H748="","Fehlt","Falsch")))</f>
      </c>
      <c r="J748" s="29"/>
      <c r="K748" s="23">
        <f t="shared" si="82"/>
      </c>
      <c r="L748" s="24">
        <f t="shared" si="84"/>
      </c>
      <c r="N748" s="839"/>
    </row>
    <row r="749" spans="1:14" ht="12.75" hidden="1">
      <c r="A749" s="18"/>
      <c r="B749" s="3" t="str">
        <f>IF(UV!B22="","-",UV!B22)</f>
        <v>Mastschweine</v>
      </c>
      <c r="C749" s="93" t="str">
        <f aca="true" t="shared" si="94" ref="C749:C754">MID($B$738,1,12)&amp;"."</f>
        <v>Wert 31. Dez.</v>
      </c>
      <c r="D749" s="26">
        <f>IF('[2]E-UV'!$I22="","",'[2]E-UV'!$I22)</f>
        <v>495</v>
      </c>
      <c r="E749" s="27"/>
      <c r="F749" s="27"/>
      <c r="H749" s="96">
        <f>IF(UV!$I22="","",UV!$I22)</f>
        <v>495</v>
      </c>
      <c r="I749" s="29" t="str">
        <f t="shared" si="93"/>
        <v>Richtig!</v>
      </c>
      <c r="J749" s="30" t="str">
        <f t="shared" si="83"/>
        <v>-</v>
      </c>
      <c r="K749" s="23">
        <f t="shared" si="82"/>
      </c>
      <c r="L749" s="24">
        <f t="shared" si="84"/>
      </c>
      <c r="N749" s="841"/>
    </row>
    <row r="750" spans="1:14" ht="12.75" hidden="1">
      <c r="A750" s="18"/>
      <c r="B750" s="3" t="str">
        <f>IF(UV!B23="","-",UV!B23)</f>
        <v>-</v>
      </c>
      <c r="C750" s="93" t="str">
        <f t="shared" si="94"/>
        <v>Wert 31. Dez.</v>
      </c>
      <c r="D750" s="26">
        <f>IF('[2]E-UV'!$I23="","",'[2]E-UV'!$I23)</f>
      </c>
      <c r="E750" s="27"/>
      <c r="F750" s="27"/>
      <c r="H750" s="96">
        <f>IF(UV!$I23="","",UV!$I23)</f>
      </c>
      <c r="I750" s="29">
        <f t="shared" si="93"/>
      </c>
      <c r="J750" s="30" t="str">
        <f aca="true" t="shared" si="95" ref="J750:J800">IF(OR(B750="-",N750="",AND(D750="",H750="")),"-",IF(I750="Richtig!",1,IF(I750="Formel: OK",0.5,IF(OR(I750="Falsch",I750="Fehlt"),0,""))))</f>
        <v>-</v>
      </c>
      <c r="K750" s="23">
        <f aca="true" t="shared" si="96" ref="K750:K811">IF(L750="","","│")</f>
      </c>
      <c r="L750" s="24">
        <f aca="true" t="shared" si="97" ref="L750:L811">IF(OR(B750="-",N750="",AND(D750="",H750="")),"",1)</f>
      </c>
      <c r="N750" s="841"/>
    </row>
    <row r="751" spans="1:14" ht="12.75" hidden="1">
      <c r="A751" s="18"/>
      <c r="B751" s="3" t="str">
        <f>IF(UV!B24="","-",UV!B24)</f>
        <v>-</v>
      </c>
      <c r="C751" s="93" t="str">
        <f t="shared" si="94"/>
        <v>Wert 31. Dez.</v>
      </c>
      <c r="D751" s="26">
        <f>IF('[2]E-UV'!$I24="","",'[2]E-UV'!$I24)</f>
      </c>
      <c r="E751" s="27"/>
      <c r="F751" s="27"/>
      <c r="H751" s="96">
        <f>IF(UV!$I24="","",UV!$I24)</f>
      </c>
      <c r="I751" s="29">
        <f t="shared" si="93"/>
      </c>
      <c r="J751" s="30" t="str">
        <f t="shared" si="95"/>
        <v>-</v>
      </c>
      <c r="K751" s="23">
        <f t="shared" si="96"/>
      </c>
      <c r="L751" s="24">
        <f t="shared" si="97"/>
      </c>
      <c r="N751" s="841"/>
    </row>
    <row r="752" spans="1:14" ht="12.75" hidden="1">
      <c r="A752" s="18"/>
      <c r="B752" s="3" t="str">
        <f>IF(UV!B25="","-",UV!B25)</f>
        <v>-</v>
      </c>
      <c r="C752" s="93" t="str">
        <f t="shared" si="94"/>
        <v>Wert 31. Dez.</v>
      </c>
      <c r="D752" s="26">
        <f>IF('[2]E-UV'!$I25="","",'[2]E-UV'!$I25)</f>
      </c>
      <c r="E752" s="27"/>
      <c r="F752" s="27"/>
      <c r="H752" s="96">
        <f>IF(UV!$I25="","",UV!$I25)</f>
      </c>
      <c r="I752" s="29">
        <f t="shared" si="93"/>
      </c>
      <c r="J752" s="30" t="str">
        <f t="shared" si="95"/>
        <v>-</v>
      </c>
      <c r="K752" s="23">
        <f t="shared" si="96"/>
      </c>
      <c r="L752" s="24">
        <f t="shared" si="97"/>
      </c>
      <c r="N752" s="841"/>
    </row>
    <row r="753" spans="1:14" ht="12.75" hidden="1">
      <c r="A753" s="18"/>
      <c r="B753" s="3" t="str">
        <f>IF(UV!B26="","-",UV!B26)</f>
        <v>-</v>
      </c>
      <c r="C753" s="93" t="str">
        <f t="shared" si="94"/>
        <v>Wert 31. Dez.</v>
      </c>
      <c r="D753" s="26">
        <f>IF('[2]E-UV'!$I26="","",'[2]E-UV'!$I26)</f>
      </c>
      <c r="E753" s="27"/>
      <c r="F753" s="27"/>
      <c r="H753" s="96">
        <f>IF(UV!$I26="","",UV!$I26)</f>
      </c>
      <c r="I753" s="29">
        <f t="shared" si="93"/>
      </c>
      <c r="J753" s="30" t="str">
        <f t="shared" si="95"/>
        <v>-</v>
      </c>
      <c r="K753" s="23">
        <f t="shared" si="96"/>
      </c>
      <c r="L753" s="24">
        <f t="shared" si="97"/>
      </c>
      <c r="N753" s="841"/>
    </row>
    <row r="754" spans="1:14" ht="12.75" hidden="1">
      <c r="A754" s="18"/>
      <c r="B754" s="92" t="str">
        <f>IF(UV!B27="","-",UV!B27)</f>
        <v>Summe Schweine</v>
      </c>
      <c r="C754" s="93" t="str">
        <f t="shared" si="94"/>
        <v>Wert 31. Dez.</v>
      </c>
      <c r="D754" s="31">
        <f>IF('[2]E-UV'!$I27="","",'[2]E-UV'!$I27)</f>
        <v>495</v>
      </c>
      <c r="E754" s="27"/>
      <c r="F754" s="32">
        <f>IF(AND(H749="",H750="",H751="",H752="",H753=""),"-",SUM(H749:H753))</f>
        <v>495</v>
      </c>
      <c r="H754" s="97">
        <f>IF(UV!$I27="","",UV!$I27)</f>
        <v>495</v>
      </c>
      <c r="I754" s="29" t="str">
        <f>IF(B754="","",IF(H754=D754,"Richtig!",IF(AND(D754&lt;&gt;H754,F754=H754),"Formel: OK",IF(H754="","Fehlt","Falsch"))))</f>
        <v>Richtig!</v>
      </c>
      <c r="J754" s="30" t="str">
        <f t="shared" si="95"/>
        <v>-</v>
      </c>
      <c r="K754" s="23">
        <f t="shared" si="96"/>
      </c>
      <c r="L754" s="24">
        <f t="shared" si="97"/>
      </c>
      <c r="N754" s="841"/>
    </row>
    <row r="755" spans="2:14" ht="12.75">
      <c r="B755" s="95" t="str">
        <f>IF(UV!B30="","-",UV!B30)</f>
        <v>Selbst erzeugte Vorräte</v>
      </c>
      <c r="C755" s="93"/>
      <c r="D755" s="19">
        <f>IF('[2]E-UV'!$I30="","",'[2]E-UV'!$I30)</f>
      </c>
      <c r="H755" s="5">
        <f>IF(UV!$I30="","",UV!$I30)</f>
      </c>
      <c r="I755" s="29"/>
      <c r="J755" s="29"/>
      <c r="K755" s="23">
        <f t="shared" si="96"/>
      </c>
      <c r="L755" s="24">
        <f t="shared" si="97"/>
      </c>
      <c r="N755" s="839" t="str">
        <f>IF($L$1="","",$L$1)</f>
        <v>x</v>
      </c>
    </row>
    <row r="756" spans="2:14" ht="12.75">
      <c r="B756" s="3" t="str">
        <f>IF(UV!B31="","-",UV!B31)</f>
        <v>Gerste</v>
      </c>
      <c r="C756" s="93" t="str">
        <f aca="true" t="shared" si="98" ref="C756:C761">MID($B$738,1,12)&amp;"."</f>
        <v>Wert 31. Dez.</v>
      </c>
      <c r="D756" s="26">
        <f>IF('[2]E-UV'!$I31="","",'[2]E-UV'!$I31)</f>
        <v>13</v>
      </c>
      <c r="E756" s="27"/>
      <c r="F756" s="27"/>
      <c r="H756" s="96">
        <f>IF(UV!$I31="","",UV!$I31)</f>
      </c>
      <c r="I756" s="29" t="str">
        <f>IF(OR(B756="-",AND(D756="",H756="")),"",IF(H756=D756,"Richtig!",IF(H756="","Fehlt","Falsch")))</f>
        <v>Fehlt</v>
      </c>
      <c r="J756" s="30">
        <f t="shared" si="95"/>
        <v>0</v>
      </c>
      <c r="K756" s="23" t="str">
        <f t="shared" si="96"/>
        <v>│</v>
      </c>
      <c r="L756" s="24">
        <f t="shared" si="97"/>
        <v>1</v>
      </c>
      <c r="N756" s="841" t="s">
        <v>11</v>
      </c>
    </row>
    <row r="757" spans="1:14" ht="12.75">
      <c r="A757" s="18"/>
      <c r="B757" s="3" t="str">
        <f>IF(UV!B32="","-",UV!B32)</f>
        <v>Hafer</v>
      </c>
      <c r="C757" s="93" t="str">
        <f t="shared" si="98"/>
        <v>Wert 31. Dez.</v>
      </c>
      <c r="D757" s="26">
        <f>IF('[2]E-UV'!$I32="","",'[2]E-UV'!$I32)</f>
        <v>3.5000000000000004</v>
      </c>
      <c r="E757" s="27"/>
      <c r="F757" s="27"/>
      <c r="H757" s="96">
        <f>IF(UV!$I32="","",UV!$I32)</f>
      </c>
      <c r="I757" s="29" t="str">
        <f>IF(OR(B757="-",AND(D757="",H757="")),"",IF(H757=D757,"Richtig!",IF(H757="","Fehlt","Falsch")))</f>
        <v>Fehlt</v>
      </c>
      <c r="J757" s="30">
        <f t="shared" si="95"/>
        <v>0</v>
      </c>
      <c r="K757" s="23" t="str">
        <f t="shared" si="96"/>
        <v>│</v>
      </c>
      <c r="L757" s="24">
        <f t="shared" si="97"/>
        <v>1</v>
      </c>
      <c r="N757" s="841" t="s">
        <v>11</v>
      </c>
    </row>
    <row r="758" spans="1:14" ht="12.75">
      <c r="A758" s="18"/>
      <c r="B758" s="3" t="str">
        <f>IF(UV!B33="","-",UV!B33)</f>
        <v>Kartoffel</v>
      </c>
      <c r="C758" s="93" t="str">
        <f t="shared" si="98"/>
        <v>Wert 31. Dez.</v>
      </c>
      <c r="D758" s="26">
        <f>IF('[2]E-UV'!$I33="","",'[2]E-UV'!$I33)</f>
        <v>45.50000000000001</v>
      </c>
      <c r="E758" s="27"/>
      <c r="F758" s="27"/>
      <c r="H758" s="96">
        <f>IF(UV!$I33="","",UV!$I33)</f>
      </c>
      <c r="I758" s="29" t="str">
        <f>IF(OR(B758="-",AND(D758="",H758="")),"",IF(H758=D758,"Richtig!",IF(H758="","Fehlt","Falsch")))</f>
        <v>Fehlt</v>
      </c>
      <c r="J758" s="30">
        <f t="shared" si="95"/>
        <v>0</v>
      </c>
      <c r="K758" s="23" t="str">
        <f t="shared" si="96"/>
        <v>│</v>
      </c>
      <c r="L758" s="24">
        <f t="shared" si="97"/>
        <v>1</v>
      </c>
      <c r="N758" s="841" t="str">
        <f>IF($L$1="","",$L$1)</f>
        <v>x</v>
      </c>
    </row>
    <row r="759" spans="1:14" ht="12.75" hidden="1">
      <c r="A759" s="18"/>
      <c r="B759" s="3" t="str">
        <f>IF(UV!B34="","-",UV!B34)</f>
        <v>-</v>
      </c>
      <c r="C759" s="93" t="str">
        <f t="shared" si="98"/>
        <v>Wert 31. Dez.</v>
      </c>
      <c r="D759" s="26">
        <f>IF('[2]E-UV'!$I34="","",'[2]E-UV'!$I34)</f>
      </c>
      <c r="E759" s="27"/>
      <c r="F759" s="27"/>
      <c r="H759" s="96">
        <f>IF(UV!$I34="","",UV!$I34)</f>
      </c>
      <c r="I759" s="29">
        <f>IF(OR(B759="-",AND(D759="",H759="")),"",IF(H759=D759,"Richtig!",IF(H759="","Fehlt","Falsch")))</f>
      </c>
      <c r="J759" s="30" t="str">
        <f t="shared" si="95"/>
        <v>-</v>
      </c>
      <c r="K759" s="23">
        <f t="shared" si="96"/>
      </c>
      <c r="L759" s="24">
        <f t="shared" si="97"/>
      </c>
      <c r="N759" s="841"/>
    </row>
    <row r="760" spans="1:14" ht="12.75" hidden="1">
      <c r="A760" s="18"/>
      <c r="B760" s="3" t="str">
        <f>IF(UV!B35="","-",UV!B35)</f>
        <v>-</v>
      </c>
      <c r="C760" s="93" t="str">
        <f t="shared" si="98"/>
        <v>Wert 31. Dez.</v>
      </c>
      <c r="D760" s="26">
        <f>IF('[2]E-UV'!$I35="","",'[2]E-UV'!$I35)</f>
      </c>
      <c r="E760" s="27"/>
      <c r="F760" s="27"/>
      <c r="H760" s="96">
        <f>IF(UV!$I35="","",UV!$I35)</f>
      </c>
      <c r="I760" s="29">
        <f>IF(OR(B760="-",AND(D760="",H760="")),"",IF(H760=D760,"Richtig!",IF(H760="","Fehlt","Falsch")))</f>
      </c>
      <c r="J760" s="30" t="str">
        <f t="shared" si="95"/>
        <v>-</v>
      </c>
      <c r="K760" s="23">
        <f t="shared" si="96"/>
      </c>
      <c r="L760" s="24">
        <f t="shared" si="97"/>
      </c>
      <c r="N760" s="841"/>
    </row>
    <row r="761" spans="1:14" ht="12.75">
      <c r="A761" s="18"/>
      <c r="B761" s="92" t="str">
        <f>IF(UV!B36="","-",UV!B36)</f>
        <v>Summe selbst erzeugte Vorräte</v>
      </c>
      <c r="C761" s="93" t="str">
        <f t="shared" si="98"/>
        <v>Wert 31. Dez.</v>
      </c>
      <c r="D761" s="31">
        <f>IF('[2]E-UV'!$I36="","",'[2]E-UV'!$I36)</f>
        <v>62.00000000000001</v>
      </c>
      <c r="E761" s="27"/>
      <c r="F761" s="32" t="str">
        <f>IF(AND(H756="",H757="",H758="",H759="",H760=""),"-",SUM(H756:H760))</f>
        <v>-</v>
      </c>
      <c r="H761" s="97">
        <f>IF(UV!$I36="","",UV!$I36)</f>
      </c>
      <c r="I761" s="29" t="str">
        <f>IF(B761="","",IF(H761=D761,"Richtig!",IF(AND(D761&lt;&gt;H761,F761=H761),"Formel: OK",IF(H761="","Fehlt","Falsch"))))</f>
        <v>Fehlt</v>
      </c>
      <c r="J761" s="30">
        <f t="shared" si="95"/>
        <v>0</v>
      </c>
      <c r="K761" s="23" t="str">
        <f t="shared" si="96"/>
        <v>│</v>
      </c>
      <c r="L761" s="24">
        <f t="shared" si="97"/>
        <v>1</v>
      </c>
      <c r="N761" s="841" t="str">
        <f>IF($L$1="","",$L$1)</f>
        <v>x</v>
      </c>
    </row>
    <row r="762" spans="1:14" ht="12.75" hidden="1">
      <c r="A762" s="18"/>
      <c r="B762" s="95" t="str">
        <f>IF(UV!B44="","-",UV!B44)</f>
        <v>Zugekaufte Vorräte</v>
      </c>
      <c r="C762" s="93"/>
      <c r="D762" s="19">
        <f>IF('[2]E-UV'!$I44="","",'[2]E-UV'!$I44)</f>
      </c>
      <c r="H762" s="5">
        <f>IF(UV!$I44="","",UV!$I44)</f>
      </c>
      <c r="I762" s="29"/>
      <c r="J762" s="29"/>
      <c r="K762" s="23">
        <f t="shared" si="96"/>
      </c>
      <c r="L762" s="24">
        <f t="shared" si="97"/>
      </c>
      <c r="N762" s="839"/>
    </row>
    <row r="763" spans="1:14" ht="12.75" hidden="1">
      <c r="A763" s="18"/>
      <c r="B763" s="3" t="str">
        <f>IF(UV!B45="","-",UV!B45)</f>
        <v>Milchkraftfutter</v>
      </c>
      <c r="C763" s="93" t="str">
        <f aca="true" t="shared" si="99" ref="C763:C768">MID($B$738,1,12)&amp;"."</f>
        <v>Wert 31. Dez.</v>
      </c>
      <c r="D763" s="26">
        <f>IF('[2]E-UV'!$I45="","",'[2]E-UV'!$I45)</f>
        <v>156</v>
      </c>
      <c r="E763" s="27"/>
      <c r="F763" s="27"/>
      <c r="H763" s="96">
        <f>IF(UV!$I45="","",UV!$I45)</f>
        <v>156</v>
      </c>
      <c r="I763" s="29" t="str">
        <f>IF(OR(B763="-",AND(D763="",H763="")),"",IF(H763=D763,"Richtig!",IF(H763="","Fehlt","Falsch")))</f>
        <v>Richtig!</v>
      </c>
      <c r="J763" s="30" t="str">
        <f t="shared" si="95"/>
        <v>-</v>
      </c>
      <c r="K763" s="23">
        <f t="shared" si="96"/>
      </c>
      <c r="L763" s="24">
        <f t="shared" si="97"/>
      </c>
      <c r="N763" s="841"/>
    </row>
    <row r="764" spans="1:14" ht="12.75" hidden="1">
      <c r="A764" s="18"/>
      <c r="B764" s="3" t="str">
        <f>IF(UV!B46="","-",UV!B46)</f>
        <v>Weizenschrot</v>
      </c>
      <c r="C764" s="93" t="str">
        <f t="shared" si="99"/>
        <v>Wert 31. Dez.</v>
      </c>
      <c r="D764" s="26">
        <f>IF('[2]E-UV'!$I46="","",'[2]E-UV'!$I46)</f>
        <v>69</v>
      </c>
      <c r="E764" s="27"/>
      <c r="F764" s="27"/>
      <c r="H764" s="96">
        <f>IF(UV!$I46="","",UV!$I46)</f>
        <v>69</v>
      </c>
      <c r="I764" s="29" t="str">
        <f>IF(OR(B764="-",AND(D764="",H764="")),"",IF(H764=D764,"Richtig!",IF(H764="","Fehlt","Falsch")))</f>
        <v>Richtig!</v>
      </c>
      <c r="J764" s="30" t="str">
        <f t="shared" si="95"/>
        <v>-</v>
      </c>
      <c r="K764" s="23">
        <f t="shared" si="96"/>
      </c>
      <c r="L764" s="24">
        <f t="shared" si="97"/>
      </c>
      <c r="N764" s="841"/>
    </row>
    <row r="765" spans="1:14" ht="12.75" hidden="1">
      <c r="A765" s="18"/>
      <c r="B765" s="3" t="str">
        <f>IF(UV!B47="","-",UV!B47)</f>
        <v>Erbsenschrot</v>
      </c>
      <c r="C765" s="93" t="str">
        <f t="shared" si="99"/>
        <v>Wert 31. Dez.</v>
      </c>
      <c r="D765" s="26">
        <f>IF('[2]E-UV'!$I47="","",'[2]E-UV'!$I47)</f>
        <v>22</v>
      </c>
      <c r="E765" s="27"/>
      <c r="F765" s="27"/>
      <c r="H765" s="96">
        <f>IF(UV!$I47="","",UV!$I47)</f>
        <v>22</v>
      </c>
      <c r="I765" s="29" t="str">
        <f>IF(OR(B765="-",AND(D765="",H765="")),"",IF(H765=D765,"Richtig!",IF(H765="","Fehlt","Falsch")))</f>
        <v>Richtig!</v>
      </c>
      <c r="J765" s="30" t="str">
        <f t="shared" si="95"/>
        <v>-</v>
      </c>
      <c r="K765" s="23">
        <f t="shared" si="96"/>
      </c>
      <c r="L765" s="24">
        <f t="shared" si="97"/>
      </c>
      <c r="N765" s="841"/>
    </row>
    <row r="766" spans="1:14" ht="12.75" hidden="1">
      <c r="A766" s="18"/>
      <c r="B766" s="3" t="str">
        <f>IF(UV!B48="","-",UV!B48)</f>
        <v>-</v>
      </c>
      <c r="C766" s="93" t="str">
        <f t="shared" si="99"/>
        <v>Wert 31. Dez.</v>
      </c>
      <c r="D766" s="26">
        <f>IF('[2]E-UV'!$I48="","",'[2]E-UV'!$I48)</f>
      </c>
      <c r="E766" s="27"/>
      <c r="F766" s="27"/>
      <c r="H766" s="96">
        <f>IF(UV!$I48="","",UV!$I48)</f>
      </c>
      <c r="I766" s="29">
        <f>IF(OR(B766="-",AND(D766="",H766="")),"",IF(H766=D766,"Richtig!",IF(H766="","Fehlt","Falsch")))</f>
      </c>
      <c r="J766" s="30" t="str">
        <f t="shared" si="95"/>
        <v>-</v>
      </c>
      <c r="K766" s="23">
        <f t="shared" si="96"/>
      </c>
      <c r="L766" s="24">
        <f t="shared" si="97"/>
      </c>
      <c r="N766" s="841"/>
    </row>
    <row r="767" spans="1:14" ht="12.75" hidden="1">
      <c r="A767" s="18"/>
      <c r="B767" s="3" t="str">
        <f>IF(UV!B49="","-",UV!B49)</f>
        <v>-</v>
      </c>
      <c r="C767" s="93" t="str">
        <f t="shared" si="99"/>
        <v>Wert 31. Dez.</v>
      </c>
      <c r="D767" s="26">
        <f>IF('[2]E-UV'!$I49="","",'[2]E-UV'!$I49)</f>
      </c>
      <c r="E767" s="27"/>
      <c r="F767" s="27"/>
      <c r="H767" s="96">
        <f>IF(UV!$I49="","",UV!$I49)</f>
      </c>
      <c r="I767" s="29">
        <f>IF(OR(B767="-",AND(D767="",H767="")),"",IF(H767=D767,"Richtig!",IF(H767="","Fehlt","Falsch")))</f>
      </c>
      <c r="J767" s="30" t="str">
        <f t="shared" si="95"/>
        <v>-</v>
      </c>
      <c r="K767" s="23">
        <f t="shared" si="96"/>
      </c>
      <c r="L767" s="24">
        <f t="shared" si="97"/>
      </c>
      <c r="N767" s="841"/>
    </row>
    <row r="768" spans="1:14" ht="12.75" hidden="1">
      <c r="A768" s="18"/>
      <c r="B768" s="92" t="str">
        <f>IF(UV!B50="","-",UV!B50)</f>
        <v>Summe zugekaufte Vorräte</v>
      </c>
      <c r="C768" s="93" t="str">
        <f t="shared" si="99"/>
        <v>Wert 31. Dez.</v>
      </c>
      <c r="D768" s="31">
        <f>IF('[2]E-UV'!$I50="","",'[2]E-UV'!$I50)</f>
        <v>247</v>
      </c>
      <c r="E768" s="27"/>
      <c r="F768" s="32">
        <f>IF(AND(H763="",H764="",H765="",H766="",H767=""),"-",SUM(H763:H767))</f>
        <v>247</v>
      </c>
      <c r="H768" s="97">
        <f>IF(UV!$I50="","",UV!$I50)</f>
        <v>247</v>
      </c>
      <c r="I768" s="29" t="str">
        <f>IF(B768="","",IF(H768=D768,"Richtig!",IF(AND(D768&lt;&gt;H768,F768=H768),"Formel: OK",IF(H768="","Fehlt","Falsch"))))</f>
        <v>Richtig!</v>
      </c>
      <c r="J768" s="30" t="str">
        <f t="shared" si="95"/>
        <v>-</v>
      </c>
      <c r="K768" s="23">
        <f t="shared" si="96"/>
      </c>
      <c r="L768" s="24">
        <f t="shared" si="97"/>
      </c>
      <c r="N768" s="841"/>
    </row>
    <row r="769" spans="1:14" ht="12.75">
      <c r="A769" s="18"/>
      <c r="B769" s="36"/>
      <c r="C769" s="93"/>
      <c r="D769" s="19"/>
      <c r="H769" s="5"/>
      <c r="I769" s="29"/>
      <c r="J769" s="29"/>
      <c r="K769" s="23"/>
      <c r="L769" s="24">
        <f t="shared" si="97"/>
      </c>
      <c r="N769" s="842" t="str">
        <f>IF($L$1="","",$L$1)</f>
        <v>x</v>
      </c>
    </row>
    <row r="770" spans="1:14" ht="12.75">
      <c r="A770" s="17" t="s">
        <v>14</v>
      </c>
      <c r="B770" s="17" t="s">
        <v>87</v>
      </c>
      <c r="C770" s="18"/>
      <c r="D770" s="19"/>
      <c r="H770" s="5"/>
      <c r="I770" s="21"/>
      <c r="J770" s="21"/>
      <c r="K770" s="23">
        <f t="shared" si="96"/>
      </c>
      <c r="L770" s="24">
        <f t="shared" si="97"/>
      </c>
      <c r="N770" s="839" t="str">
        <f>IF($L$1="","",$L$1)</f>
        <v>x</v>
      </c>
    </row>
    <row r="771" spans="2:14" ht="12.75">
      <c r="B771" s="95" t="str">
        <f>IF(UV!B5="","-",UV!B5)</f>
        <v>RINDER</v>
      </c>
      <c r="C771" s="42"/>
      <c r="D771" s="19"/>
      <c r="H771" s="5"/>
      <c r="I771" s="29"/>
      <c r="J771" s="29"/>
      <c r="K771" s="23">
        <f t="shared" si="96"/>
      </c>
      <c r="L771" s="24">
        <f t="shared" si="97"/>
      </c>
      <c r="N771" s="839" t="str">
        <f>IF($L$1="","",$L$1)</f>
        <v>x</v>
      </c>
    </row>
    <row r="772" spans="1:14" ht="12.75" hidden="1">
      <c r="A772" s="18"/>
      <c r="B772" s="36" t="str">
        <f>IF(UV!B6="","-",UV!B6)</f>
        <v>Milchkühe</v>
      </c>
      <c r="C772" s="93" t="str">
        <f aca="true" t="shared" si="100" ref="C772:C779">MID($B$770,1,5)&amp;"./"&amp;MID($B$770,10,7)&amp;"."</f>
        <v>Mehrw./Minderw.</v>
      </c>
      <c r="D772" s="31">
        <f>IF('[2]E-UV'!$J6="","",'[2]E-UV'!$J6)</f>
        <v>0</v>
      </c>
      <c r="E772" s="27"/>
      <c r="F772" s="32">
        <f aca="true" t="shared" si="101" ref="F772:F778">IF(AND(H740="",H708=""),"-",H740-H708)</f>
        <v>0</v>
      </c>
      <c r="H772" s="97">
        <f>IF(UV!$J6="","",UV!$J6)</f>
        <v>0</v>
      </c>
      <c r="I772" s="29" t="str">
        <f aca="true" t="shared" si="102" ref="I772:I779">IF(B772="","",IF(H772=D772,"Richtig!",IF(AND(D772&lt;&gt;H772,F772=H772),"Formel: OK",IF(H772="","Fehlt","Falsch"))))</f>
        <v>Richtig!</v>
      </c>
      <c r="J772" s="30" t="str">
        <f t="shared" si="95"/>
        <v>-</v>
      </c>
      <c r="K772" s="23">
        <f t="shared" si="96"/>
      </c>
      <c r="L772" s="24">
        <f t="shared" si="97"/>
      </c>
      <c r="N772" s="841"/>
    </row>
    <row r="773" spans="1:14" ht="12.75">
      <c r="A773" s="18"/>
      <c r="B773" s="36" t="str">
        <f>IF(UV!B7="","-",UV!B7)</f>
        <v>Kalbinnen</v>
      </c>
      <c r="C773" s="93" t="str">
        <f t="shared" si="100"/>
        <v>Mehrw./Minderw.</v>
      </c>
      <c r="D773" s="31">
        <f>IF('[2]E-UV'!$J7="","",'[2]E-UV'!$J7)</f>
        <v>1295</v>
      </c>
      <c r="E773" s="27"/>
      <c r="F773" s="32" t="str">
        <f t="shared" si="101"/>
        <v>-</v>
      </c>
      <c r="H773" s="97">
        <f>IF(UV!$J7="","",UV!$J7)</f>
      </c>
      <c r="I773" s="29" t="str">
        <f t="shared" si="102"/>
        <v>Fehlt</v>
      </c>
      <c r="J773" s="30">
        <f t="shared" si="95"/>
        <v>0</v>
      </c>
      <c r="K773" s="23" t="str">
        <f t="shared" si="96"/>
        <v>│</v>
      </c>
      <c r="L773" s="24">
        <f t="shared" si="97"/>
        <v>1</v>
      </c>
      <c r="N773" s="841" t="str">
        <f>IF($L$1="","",$L$1)</f>
        <v>x</v>
      </c>
    </row>
    <row r="774" spans="1:14" ht="12.75">
      <c r="A774" s="18"/>
      <c r="B774" s="36" t="str">
        <f>IF(UV!B8="","-",UV!B8)</f>
        <v>Jungvieh 1 - 2 Jahre</v>
      </c>
      <c r="C774" s="93" t="str">
        <f t="shared" si="100"/>
        <v>Mehrw./Minderw.</v>
      </c>
      <c r="D774" s="31">
        <f>IF('[2]E-UV'!$J8="","",'[2]E-UV'!$J8)</f>
        <v>0</v>
      </c>
      <c r="E774" s="27"/>
      <c r="F774" s="32" t="str">
        <f t="shared" si="101"/>
        <v>-</v>
      </c>
      <c r="H774" s="97">
        <f>IF(UV!$J8="","",UV!$J8)</f>
      </c>
      <c r="I774" s="29" t="str">
        <f t="shared" si="102"/>
        <v>Fehlt</v>
      </c>
      <c r="J774" s="30">
        <f t="shared" si="95"/>
        <v>0</v>
      </c>
      <c r="K774" s="23" t="str">
        <f t="shared" si="96"/>
        <v>│</v>
      </c>
      <c r="L774" s="24">
        <f t="shared" si="97"/>
        <v>1</v>
      </c>
      <c r="N774" s="841" t="str">
        <f>IF($L$1="","",$L$1)</f>
        <v>x</v>
      </c>
    </row>
    <row r="775" spans="1:14" ht="12.75" hidden="1">
      <c r="A775" s="18"/>
      <c r="B775" s="36" t="str">
        <f>IF(UV!B9="","-",UV!B9)</f>
        <v>Jungvieh bis 1 Jahr</v>
      </c>
      <c r="C775" s="93" t="str">
        <f t="shared" si="100"/>
        <v>Mehrw./Minderw.</v>
      </c>
      <c r="D775" s="31">
        <f>IF('[2]E-UV'!$J9="","",'[2]E-UV'!$J9)</f>
        <v>650</v>
      </c>
      <c r="E775" s="27"/>
      <c r="F775" s="32">
        <f t="shared" si="101"/>
        <v>650</v>
      </c>
      <c r="H775" s="97">
        <f>IF(UV!$J9="","",UV!$J9)</f>
        <v>650</v>
      </c>
      <c r="I775" s="29" t="str">
        <f t="shared" si="102"/>
        <v>Richtig!</v>
      </c>
      <c r="J775" s="30" t="str">
        <f t="shared" si="95"/>
        <v>-</v>
      </c>
      <c r="K775" s="23">
        <f t="shared" si="96"/>
      </c>
      <c r="L775" s="24">
        <f t="shared" si="97"/>
      </c>
      <c r="N775" s="841"/>
    </row>
    <row r="776" spans="1:14" ht="12.75" hidden="1">
      <c r="A776" s="18"/>
      <c r="B776" s="36" t="str">
        <f>IF(UV!B10="","-",UV!B10)</f>
        <v>Einsteller</v>
      </c>
      <c r="C776" s="93" t="str">
        <f t="shared" si="100"/>
        <v>Mehrw./Minderw.</v>
      </c>
      <c r="D776" s="31">
        <f>IF('[2]E-UV'!$J10="","",'[2]E-UV'!$J10)</f>
        <v>-396</v>
      </c>
      <c r="E776" s="27"/>
      <c r="F776" s="32">
        <f t="shared" si="101"/>
        <v>-396</v>
      </c>
      <c r="H776" s="97">
        <f>IF(UV!$J10="","",UV!$J10)</f>
        <v>-396</v>
      </c>
      <c r="I776" s="29" t="str">
        <f t="shared" si="102"/>
        <v>Richtig!</v>
      </c>
      <c r="J776" s="30" t="str">
        <f t="shared" si="95"/>
        <v>-</v>
      </c>
      <c r="K776" s="23">
        <f t="shared" si="96"/>
      </c>
      <c r="L776" s="24">
        <f t="shared" si="97"/>
      </c>
      <c r="N776" s="841"/>
    </row>
    <row r="777" spans="1:14" ht="12.75" hidden="1">
      <c r="A777" s="18"/>
      <c r="B777" s="36" t="str">
        <f>IF(UV!B11="","-",UV!B11)</f>
        <v>-</v>
      </c>
      <c r="C777" s="93" t="str">
        <f t="shared" si="100"/>
        <v>Mehrw./Minderw.</v>
      </c>
      <c r="D777" s="31">
        <f>IF('[2]E-UV'!$J11="","",'[2]E-UV'!$J11)</f>
      </c>
      <c r="E777" s="27"/>
      <c r="F777" s="32" t="str">
        <f t="shared" si="101"/>
        <v>-</v>
      </c>
      <c r="H777" s="97">
        <f>IF(UV!$J11="","",UV!$J11)</f>
      </c>
      <c r="I777" s="29" t="str">
        <f t="shared" si="102"/>
        <v>Richtig!</v>
      </c>
      <c r="J777" s="30" t="str">
        <f t="shared" si="95"/>
        <v>-</v>
      </c>
      <c r="K777" s="23">
        <f t="shared" si="96"/>
      </c>
      <c r="L777" s="24">
        <f t="shared" si="97"/>
      </c>
      <c r="N777" s="841"/>
    </row>
    <row r="778" spans="1:14" ht="12.75" hidden="1">
      <c r="A778" s="18"/>
      <c r="B778" s="36" t="str">
        <f>IF(UV!B12="","-",UV!B12)</f>
        <v>-</v>
      </c>
      <c r="C778" s="93" t="str">
        <f t="shared" si="100"/>
        <v>Mehrw./Minderw.</v>
      </c>
      <c r="D778" s="31">
        <f>IF('[2]E-UV'!$J12="","",'[2]E-UV'!$J12)</f>
      </c>
      <c r="E778" s="27"/>
      <c r="F778" s="32" t="str">
        <f t="shared" si="101"/>
        <v>-</v>
      </c>
      <c r="H778" s="97">
        <f>IF(UV!$J12="","",UV!$J12)</f>
      </c>
      <c r="I778" s="29" t="str">
        <f t="shared" si="102"/>
        <v>Richtig!</v>
      </c>
      <c r="J778" s="30" t="str">
        <f t="shared" si="95"/>
        <v>-</v>
      </c>
      <c r="K778" s="23">
        <f t="shared" si="96"/>
      </c>
      <c r="L778" s="24">
        <f t="shared" si="97"/>
      </c>
      <c r="N778" s="841"/>
    </row>
    <row r="779" spans="1:14" ht="12.75">
      <c r="A779" s="18"/>
      <c r="B779" s="92" t="str">
        <f>IF(UV!B13="","-",UV!B13)</f>
        <v>Summe Rinder</v>
      </c>
      <c r="C779" s="93" t="str">
        <f t="shared" si="100"/>
        <v>Mehrw./Minderw.</v>
      </c>
      <c r="D779" s="31">
        <f>IF('[2]E-UV'!$J13="","",'[2]E-UV'!$J13)</f>
        <v>1549</v>
      </c>
      <c r="E779" s="27"/>
      <c r="F779" s="32">
        <f>IF(AND(H772="",H773="",H774="",H775="",H776="",H777="",H778=""),"-",SUM(H772:H778))</f>
        <v>254</v>
      </c>
      <c r="H779" s="97">
        <f>IF(UV!$J13="","",UV!$J13)</f>
      </c>
      <c r="I779" s="29" t="str">
        <f t="shared" si="102"/>
        <v>Fehlt</v>
      </c>
      <c r="J779" s="30">
        <f t="shared" si="95"/>
        <v>0</v>
      </c>
      <c r="K779" s="23" t="str">
        <f t="shared" si="96"/>
        <v>│</v>
      </c>
      <c r="L779" s="24">
        <f t="shared" si="97"/>
        <v>1</v>
      </c>
      <c r="N779" s="841" t="str">
        <f>IF($L$1="","",$L$1)</f>
        <v>x</v>
      </c>
    </row>
    <row r="780" spans="2:14" ht="12.75" hidden="1">
      <c r="B780" s="95" t="str">
        <f>IF(UV!B21="","-",UV!B21)</f>
        <v>SCHWEINE</v>
      </c>
      <c r="C780" s="93"/>
      <c r="D780" s="19">
        <f>IF('[2]E-UV'!$J21="","",'[2]E-UV'!$J21)</f>
      </c>
      <c r="H780" s="5">
        <f>IF(UV!$J21="","",UV!$J21)</f>
      </c>
      <c r="I780" s="29"/>
      <c r="J780" s="29"/>
      <c r="K780" s="23">
        <f t="shared" si="96"/>
      </c>
      <c r="L780" s="24">
        <f t="shared" si="97"/>
      </c>
      <c r="N780" s="839"/>
    </row>
    <row r="781" spans="1:14" ht="12.75" hidden="1">
      <c r="A781" s="18"/>
      <c r="B781" s="36" t="str">
        <f>IF(UV!B22="","-",UV!B22)</f>
        <v>Mastschweine</v>
      </c>
      <c r="C781" s="93" t="str">
        <f aca="true" t="shared" si="103" ref="C781:C786">MID($B$770,1,5)&amp;"./"&amp;MID($B$770,10,7)&amp;"."</f>
        <v>Mehrw./Minderw.</v>
      </c>
      <c r="D781" s="31">
        <f>IF('[2]E-UV'!$J22="","",'[2]E-UV'!$J22)</f>
        <v>-165</v>
      </c>
      <c r="E781" s="27"/>
      <c r="F781" s="32">
        <f>IF(AND(H749="",H717=""),"-",H749-H717)</f>
        <v>-165</v>
      </c>
      <c r="H781" s="97">
        <f>IF(UV!$J22="","",UV!$J22)</f>
        <v>-165</v>
      </c>
      <c r="I781" s="29" t="str">
        <f aca="true" t="shared" si="104" ref="I781:I786">IF(B781="","",IF(H781=D781,"Richtig!",IF(AND(D781&lt;&gt;H781,F781=H781),"Formel: OK",IF(H781="","Fehlt","Falsch"))))</f>
        <v>Richtig!</v>
      </c>
      <c r="J781" s="30" t="str">
        <f t="shared" si="95"/>
        <v>-</v>
      </c>
      <c r="K781" s="23">
        <f t="shared" si="96"/>
      </c>
      <c r="L781" s="24">
        <f t="shared" si="97"/>
      </c>
      <c r="N781" s="841"/>
    </row>
    <row r="782" spans="1:14" ht="12.75" hidden="1">
      <c r="A782" s="18"/>
      <c r="B782" s="36" t="str">
        <f>IF(UV!B23="","-",UV!B23)</f>
        <v>-</v>
      </c>
      <c r="C782" s="93" t="str">
        <f t="shared" si="103"/>
        <v>Mehrw./Minderw.</v>
      </c>
      <c r="D782" s="31">
        <f>IF('[2]E-UV'!$J23="","",'[2]E-UV'!$J23)</f>
      </c>
      <c r="E782" s="27"/>
      <c r="F782" s="32" t="str">
        <f>IF(AND(H750="",H718=""),"-",H750-H718)</f>
        <v>-</v>
      </c>
      <c r="H782" s="97">
        <f>IF(UV!$J23="","",UV!$J23)</f>
      </c>
      <c r="I782" s="29" t="str">
        <f t="shared" si="104"/>
        <v>Richtig!</v>
      </c>
      <c r="J782" s="30" t="str">
        <f t="shared" si="95"/>
        <v>-</v>
      </c>
      <c r="K782" s="23">
        <f t="shared" si="96"/>
      </c>
      <c r="L782" s="24">
        <f t="shared" si="97"/>
      </c>
      <c r="N782" s="841"/>
    </row>
    <row r="783" spans="1:14" ht="12.75" hidden="1">
      <c r="A783" s="18"/>
      <c r="B783" s="36" t="str">
        <f>IF(UV!B24="","-",UV!B24)</f>
        <v>-</v>
      </c>
      <c r="C783" s="93" t="str">
        <f t="shared" si="103"/>
        <v>Mehrw./Minderw.</v>
      </c>
      <c r="D783" s="31">
        <f>IF('[2]E-UV'!$J24="","",'[2]E-UV'!$J24)</f>
      </c>
      <c r="E783" s="27"/>
      <c r="F783" s="32" t="str">
        <f>IF(AND(H751="",H719=""),"-",H751-H719)</f>
        <v>-</v>
      </c>
      <c r="H783" s="97">
        <f>IF(UV!$J24="","",UV!$J24)</f>
      </c>
      <c r="I783" s="29" t="str">
        <f t="shared" si="104"/>
        <v>Richtig!</v>
      </c>
      <c r="J783" s="30" t="str">
        <f t="shared" si="95"/>
        <v>-</v>
      </c>
      <c r="K783" s="23">
        <f t="shared" si="96"/>
      </c>
      <c r="L783" s="24">
        <f t="shared" si="97"/>
      </c>
      <c r="N783" s="841"/>
    </row>
    <row r="784" spans="1:14" ht="12.75" hidden="1">
      <c r="A784" s="18"/>
      <c r="B784" s="36" t="str">
        <f>IF(UV!B25="","-",UV!B25)</f>
        <v>-</v>
      </c>
      <c r="C784" s="93" t="str">
        <f t="shared" si="103"/>
        <v>Mehrw./Minderw.</v>
      </c>
      <c r="D784" s="31">
        <f>IF('[2]E-UV'!$J25="","",'[2]E-UV'!$J25)</f>
      </c>
      <c r="E784" s="27"/>
      <c r="F784" s="32" t="str">
        <f>IF(AND(H752="",H720=""),"-",H752-H720)</f>
        <v>-</v>
      </c>
      <c r="H784" s="97">
        <f>IF(UV!$J25="","",UV!$J25)</f>
      </c>
      <c r="I784" s="29" t="str">
        <f t="shared" si="104"/>
        <v>Richtig!</v>
      </c>
      <c r="J784" s="30" t="str">
        <f t="shared" si="95"/>
        <v>-</v>
      </c>
      <c r="K784" s="23">
        <f t="shared" si="96"/>
      </c>
      <c r="L784" s="24">
        <f t="shared" si="97"/>
      </c>
      <c r="N784" s="841"/>
    </row>
    <row r="785" spans="1:14" ht="12.75" hidden="1">
      <c r="A785" s="18"/>
      <c r="B785" s="36" t="str">
        <f>IF(UV!B26="","-",UV!B26)</f>
        <v>-</v>
      </c>
      <c r="C785" s="93" t="str">
        <f t="shared" si="103"/>
        <v>Mehrw./Minderw.</v>
      </c>
      <c r="D785" s="31">
        <f>IF('[2]E-UV'!$J26="","",'[2]E-UV'!$J26)</f>
      </c>
      <c r="E785" s="27"/>
      <c r="F785" s="32" t="str">
        <f>IF(AND(H753="",H721=""),"-",H753-H721)</f>
        <v>-</v>
      </c>
      <c r="H785" s="97">
        <f>IF(UV!$J26="","",UV!$J26)</f>
      </c>
      <c r="I785" s="29" t="str">
        <f t="shared" si="104"/>
        <v>Richtig!</v>
      </c>
      <c r="J785" s="30" t="str">
        <f t="shared" si="95"/>
        <v>-</v>
      </c>
      <c r="K785" s="23">
        <f t="shared" si="96"/>
      </c>
      <c r="L785" s="24">
        <f t="shared" si="97"/>
      </c>
      <c r="N785" s="841"/>
    </row>
    <row r="786" spans="1:14" ht="12.75" hidden="1">
      <c r="A786" s="18"/>
      <c r="B786" s="92" t="str">
        <f>IF(UV!B27="","-",UV!B27)</f>
        <v>Summe Schweine</v>
      </c>
      <c r="C786" s="93" t="str">
        <f t="shared" si="103"/>
        <v>Mehrw./Minderw.</v>
      </c>
      <c r="D786" s="31">
        <f>IF('[2]E-UV'!$J27="","",'[2]E-UV'!$J27)</f>
        <v>-165</v>
      </c>
      <c r="E786" s="27"/>
      <c r="F786" s="32">
        <f>IF(AND(H781="",H782="",H783="",H784="",H785=""),"-",SUM(H781:H785))</f>
        <v>-165</v>
      </c>
      <c r="H786" s="97">
        <f>IF(UV!$J27="","",UV!$J27)</f>
        <v>-165</v>
      </c>
      <c r="I786" s="29" t="str">
        <f t="shared" si="104"/>
        <v>Richtig!</v>
      </c>
      <c r="J786" s="30" t="str">
        <f t="shared" si="95"/>
        <v>-</v>
      </c>
      <c r="K786" s="23">
        <f t="shared" si="96"/>
      </c>
      <c r="L786" s="24">
        <f t="shared" si="97"/>
      </c>
      <c r="N786" s="841"/>
    </row>
    <row r="787" spans="2:14" ht="12.75">
      <c r="B787" s="95" t="str">
        <f>IF(UV!B30="","-",UV!B30)</f>
        <v>Selbst erzeugte Vorräte</v>
      </c>
      <c r="C787" s="93"/>
      <c r="D787" s="19">
        <f>IF('[2]E-UV'!$J30="","",'[2]E-UV'!$J30)</f>
      </c>
      <c r="H787" s="5">
        <f>IF(UV!$J30="","",UV!$J30)</f>
      </c>
      <c r="I787" s="29"/>
      <c r="J787" s="29"/>
      <c r="K787" s="23">
        <f t="shared" si="96"/>
      </c>
      <c r="L787" s="24">
        <f t="shared" si="97"/>
      </c>
      <c r="N787" s="839" t="str">
        <f>IF($L$1="","",$L$1)</f>
        <v>x</v>
      </c>
    </row>
    <row r="788" spans="1:14" ht="12.75">
      <c r="A788" s="18"/>
      <c r="B788" s="36" t="str">
        <f>IF(UV!B31="","-",UV!B31)</f>
        <v>Gerste</v>
      </c>
      <c r="C788" s="93" t="str">
        <f aca="true" t="shared" si="105" ref="C788:C793">MID($B$770,1,5)&amp;"./"&amp;MID($B$770,10,7)&amp;"."</f>
        <v>Mehrw./Minderw.</v>
      </c>
      <c r="D788" s="31">
        <f>IF('[2]E-UV'!$J31="","",'[2]E-UV'!$J31)</f>
        <v>9.75</v>
      </c>
      <c r="E788" s="27"/>
      <c r="F788" s="32" t="str">
        <f>IF(AND(H756="",H724=""),"-",H756-H724)</f>
        <v>-</v>
      </c>
      <c r="H788" s="97">
        <f>IF(UV!$J31="","",UV!$J31)</f>
      </c>
      <c r="I788" s="29" t="str">
        <f aca="true" t="shared" si="106" ref="I788:I793">IF(B788="","",IF(H788=D788,"Richtig!",IF(AND(D788&lt;&gt;H788,F788=H788),"Formel: OK",IF(H788="","Fehlt","Falsch"))))</f>
        <v>Fehlt</v>
      </c>
      <c r="J788" s="30">
        <f t="shared" si="95"/>
        <v>0</v>
      </c>
      <c r="K788" s="23" t="str">
        <f t="shared" si="96"/>
        <v>│</v>
      </c>
      <c r="L788" s="24">
        <f t="shared" si="97"/>
        <v>1</v>
      </c>
      <c r="N788" s="841" t="s">
        <v>11</v>
      </c>
    </row>
    <row r="789" spans="1:14" ht="12.75">
      <c r="A789" s="18"/>
      <c r="B789" s="36" t="str">
        <f>IF(UV!B32="","-",UV!B32)</f>
        <v>Hafer</v>
      </c>
      <c r="C789" s="93" t="str">
        <f t="shared" si="105"/>
        <v>Mehrw./Minderw.</v>
      </c>
      <c r="D789" s="31">
        <f>IF('[2]E-UV'!$J32="","",'[2]E-UV'!$J32)</f>
        <v>2.9400000000000004</v>
      </c>
      <c r="E789" s="27"/>
      <c r="F789" s="32" t="str">
        <f>IF(AND(H757="",H725=""),"-",H757-H725)</f>
        <v>-</v>
      </c>
      <c r="H789" s="97">
        <f>IF(UV!$J32="","",UV!$J32)</f>
      </c>
      <c r="I789" s="29" t="str">
        <f t="shared" si="106"/>
        <v>Fehlt</v>
      </c>
      <c r="J789" s="30">
        <f t="shared" si="95"/>
        <v>0</v>
      </c>
      <c r="K789" s="23" t="str">
        <f t="shared" si="96"/>
        <v>│</v>
      </c>
      <c r="L789" s="24">
        <f t="shared" si="97"/>
        <v>1</v>
      </c>
      <c r="N789" s="841" t="s">
        <v>11</v>
      </c>
    </row>
    <row r="790" spans="1:14" ht="12.75">
      <c r="A790" s="18"/>
      <c r="B790" s="36" t="str">
        <f>IF(UV!B33="","-",UV!B33)</f>
        <v>Kartoffel</v>
      </c>
      <c r="C790" s="93" t="str">
        <f t="shared" si="105"/>
        <v>Mehrw./Minderw.</v>
      </c>
      <c r="D790" s="31">
        <f>IF('[2]E-UV'!$J33="","",'[2]E-UV'!$J33)</f>
        <v>-56.00000000000001</v>
      </c>
      <c r="E790" s="27"/>
      <c r="F790" s="32" t="str">
        <f>IF(AND(H758="",H726=""),"-",H758-H726)</f>
        <v>-</v>
      </c>
      <c r="H790" s="97">
        <f>IF(UV!$J33="","",UV!$J33)</f>
      </c>
      <c r="I790" s="29" t="str">
        <f t="shared" si="106"/>
        <v>Fehlt</v>
      </c>
      <c r="J790" s="30">
        <f t="shared" si="95"/>
        <v>0</v>
      </c>
      <c r="K790" s="23" t="str">
        <f t="shared" si="96"/>
        <v>│</v>
      </c>
      <c r="L790" s="24">
        <f t="shared" si="97"/>
        <v>1</v>
      </c>
      <c r="N790" s="841" t="str">
        <f>IF($L$1="","",$L$1)</f>
        <v>x</v>
      </c>
    </row>
    <row r="791" spans="1:14" ht="12.75" hidden="1">
      <c r="A791" s="18"/>
      <c r="B791" s="36" t="str">
        <f>IF(UV!B34="","-",UV!B34)</f>
        <v>-</v>
      </c>
      <c r="C791" s="93" t="str">
        <f t="shared" si="105"/>
        <v>Mehrw./Minderw.</v>
      </c>
      <c r="D791" s="31">
        <f>IF('[2]E-UV'!$J34="","",'[2]E-UV'!$J34)</f>
      </c>
      <c r="E791" s="27"/>
      <c r="F791" s="32" t="str">
        <f>IF(AND(H759="",H727=""),"-",H759-H727)</f>
        <v>-</v>
      </c>
      <c r="H791" s="97">
        <f>IF(UV!$J34="","",UV!$J34)</f>
      </c>
      <c r="I791" s="29" t="str">
        <f t="shared" si="106"/>
        <v>Richtig!</v>
      </c>
      <c r="J791" s="30" t="str">
        <f t="shared" si="95"/>
        <v>-</v>
      </c>
      <c r="K791" s="23">
        <f t="shared" si="96"/>
      </c>
      <c r="L791" s="24">
        <f t="shared" si="97"/>
      </c>
      <c r="N791" s="841"/>
    </row>
    <row r="792" spans="1:14" ht="12.75" hidden="1">
      <c r="A792" s="18"/>
      <c r="B792" s="36" t="str">
        <f>IF(UV!B35="","-",UV!B35)</f>
        <v>-</v>
      </c>
      <c r="C792" s="93" t="str">
        <f t="shared" si="105"/>
        <v>Mehrw./Minderw.</v>
      </c>
      <c r="D792" s="31">
        <f>IF('[2]E-UV'!$J35="","",'[2]E-UV'!$J35)</f>
      </c>
      <c r="E792" s="27"/>
      <c r="F792" s="32" t="str">
        <f>IF(AND(H760="",H728=""),"-",H760-H728)</f>
        <v>-</v>
      </c>
      <c r="H792" s="97">
        <f>IF(UV!$J35="","",UV!$J35)</f>
      </c>
      <c r="I792" s="29" t="str">
        <f t="shared" si="106"/>
        <v>Richtig!</v>
      </c>
      <c r="J792" s="30" t="str">
        <f t="shared" si="95"/>
        <v>-</v>
      </c>
      <c r="K792" s="23">
        <f t="shared" si="96"/>
      </c>
      <c r="L792" s="24">
        <f t="shared" si="97"/>
      </c>
      <c r="N792" s="841"/>
    </row>
    <row r="793" spans="1:14" ht="12.75">
      <c r="A793" s="18"/>
      <c r="B793" s="92" t="str">
        <f>IF(UV!B36="","-",UV!B36)</f>
        <v>Summe selbst erzeugte Vorräte</v>
      </c>
      <c r="C793" s="93" t="str">
        <f t="shared" si="105"/>
        <v>Mehrw./Minderw.</v>
      </c>
      <c r="D793" s="31">
        <f>IF('[2]E-UV'!$J36="","",'[2]E-UV'!$J36)</f>
        <v>-43.31</v>
      </c>
      <c r="E793" s="27"/>
      <c r="F793" s="32" t="str">
        <f>IF(AND(H788="",H789="",H790="",H791="",H792=""),"-",SUM(H788:H792))</f>
        <v>-</v>
      </c>
      <c r="H793" s="97">
        <f>IF(UV!$J36="","",UV!$J36)</f>
      </c>
      <c r="I793" s="29" t="str">
        <f t="shared" si="106"/>
        <v>Fehlt</v>
      </c>
      <c r="J793" s="30">
        <f t="shared" si="95"/>
        <v>0</v>
      </c>
      <c r="K793" s="23" t="str">
        <f t="shared" si="96"/>
        <v>│</v>
      </c>
      <c r="L793" s="24">
        <f t="shared" si="97"/>
        <v>1</v>
      </c>
      <c r="N793" s="841" t="str">
        <f>IF($L$1="","",$L$1)</f>
        <v>x</v>
      </c>
    </row>
    <row r="794" spans="1:14" ht="12.75" hidden="1">
      <c r="A794" s="18"/>
      <c r="B794" s="95" t="str">
        <f>IF(UV!B44="","-",UV!B44)</f>
        <v>Zugekaufte Vorräte</v>
      </c>
      <c r="C794" s="93"/>
      <c r="D794" s="19">
        <f>IF('[2]E-UV'!$J44="","",'[2]E-UV'!$J44)</f>
      </c>
      <c r="H794" s="5">
        <f>IF(UV!$J44="","",UV!$J44)</f>
      </c>
      <c r="I794" s="29"/>
      <c r="J794" s="29"/>
      <c r="K794" s="23">
        <f t="shared" si="96"/>
      </c>
      <c r="L794" s="24">
        <f t="shared" si="97"/>
      </c>
      <c r="N794" s="839"/>
    </row>
    <row r="795" spans="1:14" ht="12.75" hidden="1">
      <c r="A795" s="18"/>
      <c r="B795" s="36" t="str">
        <f>IF(UV!B45="","-",UV!B45)</f>
        <v>Milchkraftfutter</v>
      </c>
      <c r="C795" s="93" t="str">
        <f aca="true" t="shared" si="107" ref="C795:C800">MID($B$770,1,5)&amp;"./"&amp;MID($B$770,10,7)&amp;"."</f>
        <v>Mehrw./Minderw.</v>
      </c>
      <c r="D795" s="31">
        <f>IF('[2]E-UV'!$J45="","",'[2]E-UV'!$J45)</f>
        <v>88.39999999999999</v>
      </c>
      <c r="E795" s="27"/>
      <c r="F795" s="32">
        <f>IF(AND(H763="",H731=""),"-",H763-H731)</f>
        <v>88.39999999999999</v>
      </c>
      <c r="H795" s="97">
        <f>IF(UV!$J45="","",UV!$J45)</f>
        <v>88.39999999999999</v>
      </c>
      <c r="I795" s="29" t="str">
        <f aca="true" t="shared" si="108" ref="I795:I800">IF(B795="","",IF(H795=D795,"Richtig!",IF(AND(D795&lt;&gt;H795,F795=H795),"Formel: OK",IF(H795="","Fehlt","Falsch"))))</f>
        <v>Richtig!</v>
      </c>
      <c r="J795" s="30" t="str">
        <f t="shared" si="95"/>
        <v>-</v>
      </c>
      <c r="K795" s="23">
        <f t="shared" si="96"/>
      </c>
      <c r="L795" s="24">
        <f t="shared" si="97"/>
      </c>
      <c r="N795" s="841"/>
    </row>
    <row r="796" spans="1:14" ht="12.75" hidden="1">
      <c r="A796" s="18"/>
      <c r="B796" s="36" t="str">
        <f>IF(UV!B46="","-",UV!B46)</f>
        <v>Weizenschrot</v>
      </c>
      <c r="C796" s="93" t="str">
        <f t="shared" si="107"/>
        <v>Mehrw./Minderw.</v>
      </c>
      <c r="D796" s="31">
        <f>IF('[2]E-UV'!$J46="","",'[2]E-UV'!$J46)</f>
        <v>30.129999999999995</v>
      </c>
      <c r="E796" s="27"/>
      <c r="F796" s="32">
        <f>IF(AND(H764="",H732=""),"-",H764-H732)</f>
        <v>30.129999999999995</v>
      </c>
      <c r="H796" s="97">
        <f>IF(UV!$J46="","",UV!$J46)</f>
        <v>30.129999999999995</v>
      </c>
      <c r="I796" s="29" t="str">
        <f t="shared" si="108"/>
        <v>Richtig!</v>
      </c>
      <c r="J796" s="30" t="str">
        <f t="shared" si="95"/>
        <v>-</v>
      </c>
      <c r="K796" s="23">
        <f t="shared" si="96"/>
      </c>
      <c r="L796" s="24">
        <f t="shared" si="97"/>
      </c>
      <c r="N796" s="841"/>
    </row>
    <row r="797" spans="1:14" ht="12.75" hidden="1">
      <c r="A797" s="18"/>
      <c r="B797" s="36" t="str">
        <f>IF(UV!B47="","-",UV!B47)</f>
        <v>Erbsenschrot</v>
      </c>
      <c r="C797" s="93" t="str">
        <f t="shared" si="107"/>
        <v>Mehrw./Minderw.</v>
      </c>
      <c r="D797" s="31">
        <f>IF('[2]E-UV'!$J47="","",'[2]E-UV'!$J47)</f>
        <v>9.9</v>
      </c>
      <c r="E797" s="27"/>
      <c r="F797" s="32">
        <f>IF(AND(H765="",H733=""),"-",H765-H733)</f>
        <v>9.9</v>
      </c>
      <c r="H797" s="97">
        <f>IF(UV!$J47="","",UV!$J47)</f>
        <v>9.9</v>
      </c>
      <c r="I797" s="29" t="str">
        <f t="shared" si="108"/>
        <v>Richtig!</v>
      </c>
      <c r="J797" s="30" t="str">
        <f t="shared" si="95"/>
        <v>-</v>
      </c>
      <c r="K797" s="23">
        <f t="shared" si="96"/>
      </c>
      <c r="L797" s="24">
        <f t="shared" si="97"/>
      </c>
      <c r="N797" s="841"/>
    </row>
    <row r="798" spans="1:14" ht="12.75" hidden="1">
      <c r="A798" s="18"/>
      <c r="B798" s="36" t="str">
        <f>IF(UV!B48="","-",UV!B48)</f>
        <v>-</v>
      </c>
      <c r="C798" s="93" t="str">
        <f t="shared" si="107"/>
        <v>Mehrw./Minderw.</v>
      </c>
      <c r="D798" s="31">
        <f>IF('[2]E-UV'!$J48="","",'[2]E-UV'!$J48)</f>
      </c>
      <c r="E798" s="27"/>
      <c r="F798" s="32" t="str">
        <f>IF(AND(H766="",H734=""),"-",H766-H734)</f>
        <v>-</v>
      </c>
      <c r="H798" s="97">
        <f>IF(UV!$J48="","",UV!$J48)</f>
      </c>
      <c r="I798" s="29" t="str">
        <f t="shared" si="108"/>
        <v>Richtig!</v>
      </c>
      <c r="J798" s="30" t="str">
        <f t="shared" si="95"/>
        <v>-</v>
      </c>
      <c r="K798" s="23">
        <f t="shared" si="96"/>
      </c>
      <c r="L798" s="24">
        <f t="shared" si="97"/>
      </c>
      <c r="N798" s="841"/>
    </row>
    <row r="799" spans="1:14" ht="12.75" hidden="1">
      <c r="A799" s="18"/>
      <c r="B799" s="36" t="str">
        <f>IF(UV!B49="","-",UV!B49)</f>
        <v>-</v>
      </c>
      <c r="C799" s="93" t="str">
        <f t="shared" si="107"/>
        <v>Mehrw./Minderw.</v>
      </c>
      <c r="D799" s="31">
        <f>IF('[2]E-UV'!$J49="","",'[2]E-UV'!$J49)</f>
      </c>
      <c r="E799" s="27"/>
      <c r="F799" s="32" t="str">
        <f>IF(AND(H767="",H735=""),"-",H767-H735)</f>
        <v>-</v>
      </c>
      <c r="H799" s="97">
        <f>IF(UV!$J49="","",UV!$J49)</f>
      </c>
      <c r="I799" s="29" t="str">
        <f t="shared" si="108"/>
        <v>Richtig!</v>
      </c>
      <c r="J799" s="30" t="str">
        <f t="shared" si="95"/>
        <v>-</v>
      </c>
      <c r="K799" s="23">
        <f t="shared" si="96"/>
      </c>
      <c r="L799" s="24">
        <f t="shared" si="97"/>
      </c>
      <c r="N799" s="841"/>
    </row>
    <row r="800" spans="1:14" ht="12.75" hidden="1">
      <c r="A800" s="18"/>
      <c r="B800" s="92" t="str">
        <f>IF(UV!B50="","-",UV!B50)</f>
        <v>Summe zugekaufte Vorräte</v>
      </c>
      <c r="C800" s="93" t="str">
        <f t="shared" si="107"/>
        <v>Mehrw./Minderw.</v>
      </c>
      <c r="D800" s="31">
        <f>IF('[2]E-UV'!$J50="","",'[2]E-UV'!$J50)</f>
        <v>128.42999999999998</v>
      </c>
      <c r="E800" s="27"/>
      <c r="F800" s="32">
        <f>IF(AND(H795="",H796="",H797="",H798="",H799=""),"-",SUM(H795:H799))</f>
        <v>128.42999999999998</v>
      </c>
      <c r="H800" s="97">
        <f>IF(UV!$J50="","",UV!$J50)</f>
        <v>128.42999999999998</v>
      </c>
      <c r="I800" s="29" t="str">
        <f t="shared" si="108"/>
        <v>Richtig!</v>
      </c>
      <c r="J800" s="30" t="str">
        <f t="shared" si="95"/>
        <v>-</v>
      </c>
      <c r="K800" s="23">
        <f t="shared" si="96"/>
      </c>
      <c r="L800" s="24">
        <f t="shared" si="97"/>
      </c>
      <c r="N800" s="841"/>
    </row>
    <row r="801" spans="1:14" ht="12.75">
      <c r="A801" s="18"/>
      <c r="B801" s="36"/>
      <c r="C801" s="93"/>
      <c r="D801" s="19"/>
      <c r="H801" s="5"/>
      <c r="I801" s="29"/>
      <c r="J801" s="29"/>
      <c r="K801" s="23"/>
      <c r="L801" s="24">
        <f t="shared" si="97"/>
      </c>
      <c r="N801" s="842" t="str">
        <f aca="true" t="shared" si="109" ref="N801:N832">IF($L$1="","",$L$1)</f>
        <v>x</v>
      </c>
    </row>
    <row r="802" spans="1:14" ht="12.75">
      <c r="A802" s="17" t="s">
        <v>17</v>
      </c>
      <c r="B802" s="17" t="s">
        <v>87</v>
      </c>
      <c r="C802" s="18"/>
      <c r="D802" s="19"/>
      <c r="H802" s="5"/>
      <c r="I802" s="21"/>
      <c r="J802" s="21"/>
      <c r="K802" s="23">
        <f t="shared" si="96"/>
      </c>
      <c r="L802" s="24">
        <f t="shared" si="97"/>
      </c>
      <c r="N802" s="839" t="str">
        <f t="shared" si="109"/>
        <v>x</v>
      </c>
    </row>
    <row r="803" spans="1:14" ht="12.75">
      <c r="A803" s="18"/>
      <c r="B803" s="95" t="str">
        <f>IF(UV!B5="","-",UV!B5)</f>
        <v>RINDER</v>
      </c>
      <c r="C803" s="42"/>
      <c r="D803" s="19"/>
      <c r="H803" s="5"/>
      <c r="I803" s="29"/>
      <c r="J803" s="29"/>
      <c r="K803" s="23">
        <f t="shared" si="96"/>
      </c>
      <c r="L803" s="24">
        <f t="shared" si="97"/>
      </c>
      <c r="N803" s="839" t="str">
        <f t="shared" si="109"/>
        <v>x</v>
      </c>
    </row>
    <row r="804" spans="1:14" ht="12.75">
      <c r="A804" s="18"/>
      <c r="B804" s="36" t="str">
        <f>IF(UV!D15="","-",UV!D15)</f>
        <v>Mehrwert</v>
      </c>
      <c r="C804" s="42" t="s">
        <v>88</v>
      </c>
      <c r="D804" s="31" t="str">
        <f>IF('[2]E-UV'!$C15="","",'[2]E-UV'!$C15)</f>
        <v>x</v>
      </c>
      <c r="E804" s="27"/>
      <c r="F804" s="32" t="str">
        <f>IF(H779="","-",IF(H779&gt;0,"x",""))</f>
        <v>-</v>
      </c>
      <c r="H804" s="97">
        <f>IF(UV!$C15="","",UV!$C15)</f>
      </c>
      <c r="I804" s="29" t="str">
        <f>IF(AND(B804="",B805="",B806=""),"",IF(AND(H804=D804,H805=D805,H806=D806),"Richtig!",IF(AND(D804&lt;&gt;H804,F804=H804,D805&lt;&gt;H805,F805=H805,D806&lt;&gt;H806,F806=H806),"Formel: OK",IF(AND(H804="",H805="",H806=""),"Fehlt","Falsch"))))</f>
        <v>Fehlt</v>
      </c>
      <c r="J804" s="30">
        <f>IF(OR(N804&lt;&gt;"x",B804="-"),"-",IF(I804="Richtig!",1,IF(I804="Formel: OK",0.5,IF(OR(I804="Falsch",I804="Fehlt"),0,""))))</f>
        <v>0</v>
      </c>
      <c r="K804" s="23" t="s">
        <v>521</v>
      </c>
      <c r="L804" s="24">
        <f>IF(OR(N804&lt;&gt;"x",B804=""),"-",1)</f>
        <v>1</v>
      </c>
      <c r="N804" s="841" t="str">
        <f t="shared" si="109"/>
        <v>x</v>
      </c>
    </row>
    <row r="805" spans="1:14" ht="12.75">
      <c r="A805" s="18"/>
      <c r="B805" s="36" t="str">
        <f>IF(UV!D17="","-",UV!D17)</f>
        <v>gleich geblieben</v>
      </c>
      <c r="C805" s="42" t="s">
        <v>88</v>
      </c>
      <c r="D805" s="31">
        <f>IF('[2]E-UV'!$C17="","",'[2]E-UV'!$C17)</f>
      </c>
      <c r="E805" s="27"/>
      <c r="F805" s="32" t="str">
        <f>IF(H779="","-",IF(H779=0,"x",""))</f>
        <v>-</v>
      </c>
      <c r="H805" s="97">
        <f>IF(UV!$C17="","",UV!$C17)</f>
      </c>
      <c r="I805" s="29"/>
      <c r="J805" s="22"/>
      <c r="K805" s="23"/>
      <c r="L805" s="24"/>
      <c r="N805" s="1" t="str">
        <f t="shared" si="109"/>
        <v>x</v>
      </c>
    </row>
    <row r="806" spans="1:14" ht="12.75">
      <c r="A806" s="18"/>
      <c r="B806" s="36" t="str">
        <f>IF(UV!D19="","-",UV!D19)</f>
        <v>Minderwert</v>
      </c>
      <c r="C806" s="42" t="s">
        <v>88</v>
      </c>
      <c r="D806" s="31">
        <f>IF('[2]E-UV'!$C19="","",'[2]E-UV'!$C19)</f>
      </c>
      <c r="E806" s="27"/>
      <c r="F806" s="32" t="str">
        <f>IF(H779="","-",IF(H779&lt;0,"x",""))</f>
        <v>-</v>
      </c>
      <c r="H806" s="97">
        <f>IF(UV!$C19="","",UV!$C19)</f>
      </c>
      <c r="I806" s="29"/>
      <c r="J806" s="22"/>
      <c r="K806" s="23"/>
      <c r="L806" s="24"/>
      <c r="N806" s="1" t="str">
        <f t="shared" si="109"/>
        <v>x</v>
      </c>
    </row>
    <row r="807" spans="1:14" ht="12.75">
      <c r="A807" s="18"/>
      <c r="B807" s="95" t="str">
        <f>IF(B787="","-",B787)</f>
        <v>Selbst erzeugte Vorräte</v>
      </c>
      <c r="C807" s="42"/>
      <c r="D807" s="19"/>
      <c r="H807" s="5"/>
      <c r="I807" s="29"/>
      <c r="J807" s="22"/>
      <c r="K807" s="23"/>
      <c r="L807" s="24"/>
      <c r="N807" s="839" t="str">
        <f t="shared" si="109"/>
        <v>x</v>
      </c>
    </row>
    <row r="808" spans="1:14" ht="12.75">
      <c r="A808" s="18"/>
      <c r="B808" s="36" t="str">
        <f>IF(UV!D38="","-",UV!D38)</f>
        <v>Mehrwert</v>
      </c>
      <c r="C808" s="42" t="s">
        <v>88</v>
      </c>
      <c r="D808" s="31">
        <f>IF('[2]E-UV'!$C38="","",'[2]E-UV'!$C38)</f>
      </c>
      <c r="E808" s="27"/>
      <c r="F808" s="32" t="str">
        <f>IF(H793="","-",IF(H793&gt;0,"x",""))</f>
        <v>-</v>
      </c>
      <c r="H808" s="97">
        <f>IF(UV!$C38="","",UV!$C38)</f>
      </c>
      <c r="I808" s="29" t="str">
        <f>IF(AND(B808="",B809="",B810=""),"",IF(AND(H808=D808,H809=D809,H810=D810),"Richtig!",IF(AND(D808&lt;&gt;H808,F808=H808,D809&lt;&gt;H809,F809=H809,D810&lt;&gt;H810,F810=H810),"Formel: OK",IF(AND(H808="",H809="",H810=""),"Fehlt","Falsch"))))</f>
        <v>Fehlt</v>
      </c>
      <c r="J808" s="30">
        <f>IF(OR(N808&lt;&gt;"x",B808="-"),"-",IF(I808="Richtig!",1,IF(I808="Formel: OK",0.5,IF(OR(I808="Falsch",I808="Fehlt"),0,""))))</f>
        <v>0</v>
      </c>
      <c r="K808" s="23" t="s">
        <v>521</v>
      </c>
      <c r="L808" s="24">
        <f>IF(OR(N808&lt;&gt;"x",B808=""),"-",1)</f>
        <v>1</v>
      </c>
      <c r="N808" s="841" t="str">
        <f t="shared" si="109"/>
        <v>x</v>
      </c>
    </row>
    <row r="809" spans="1:14" ht="12.75">
      <c r="A809" s="18"/>
      <c r="B809" s="36" t="str">
        <f>IF(UV!D40="","-",UV!D40)</f>
        <v>gleich geblieben</v>
      </c>
      <c r="C809" s="42" t="s">
        <v>88</v>
      </c>
      <c r="D809" s="31">
        <f>IF('[2]E-UV'!$C40="","",'[2]E-UV'!$C40)</f>
      </c>
      <c r="E809" s="27"/>
      <c r="F809" s="32" t="str">
        <f>IF(H793="","-",IF(H793=0,"x",""))</f>
        <v>-</v>
      </c>
      <c r="H809" s="97">
        <f>IF(UV!$C40="","",UV!$C40)</f>
      </c>
      <c r="I809" s="29"/>
      <c r="J809" s="22"/>
      <c r="K809" s="23"/>
      <c r="L809" s="24"/>
      <c r="N809" s="1" t="str">
        <f t="shared" si="109"/>
        <v>x</v>
      </c>
    </row>
    <row r="810" spans="1:14" ht="12.75">
      <c r="A810" s="18"/>
      <c r="B810" s="36" t="str">
        <f>IF(UV!D42="","-",UV!D42)</f>
        <v>Minderwert</v>
      </c>
      <c r="C810" s="42" t="s">
        <v>88</v>
      </c>
      <c r="D810" s="31" t="str">
        <f>IF('[2]E-UV'!$C42="","",'[2]E-UV'!$C42)</f>
        <v>x</v>
      </c>
      <c r="E810" s="27"/>
      <c r="F810" s="32" t="str">
        <f>IF(H793="","-",IF(H793&lt;0,"x",""))</f>
        <v>-</v>
      </c>
      <c r="H810" s="97">
        <f>IF(UV!$C42="","",UV!$C42)</f>
      </c>
      <c r="I810" s="29"/>
      <c r="J810" s="22"/>
      <c r="K810" s="23"/>
      <c r="L810" s="24"/>
      <c r="N810" s="1" t="str">
        <f t="shared" si="109"/>
        <v>x</v>
      </c>
    </row>
    <row r="811" spans="1:14" ht="12.75">
      <c r="A811" s="18"/>
      <c r="B811" s="18"/>
      <c r="C811" s="18"/>
      <c r="D811" s="19"/>
      <c r="H811" s="20"/>
      <c r="I811" s="21"/>
      <c r="J811" s="21"/>
      <c r="K811" s="23">
        <f t="shared" si="96"/>
      </c>
      <c r="L811" s="24">
        <f t="shared" si="97"/>
      </c>
      <c r="N811" s="842" t="str">
        <f t="shared" si="109"/>
        <v>x</v>
      </c>
    </row>
    <row r="812" spans="1:14" ht="22.5">
      <c r="A812" s="10" t="s">
        <v>89</v>
      </c>
      <c r="B812" s="11"/>
      <c r="C812" s="12"/>
      <c r="D812" s="13" t="s">
        <v>4</v>
      </c>
      <c r="E812" s="13"/>
      <c r="F812" s="14" t="s">
        <v>5</v>
      </c>
      <c r="G812" s="12"/>
      <c r="H812" s="14" t="s">
        <v>6</v>
      </c>
      <c r="I812" s="15" t="str">
        <f>"Fehler"</f>
        <v>Fehler</v>
      </c>
      <c r="J812" s="16" t="s">
        <v>7</v>
      </c>
      <c r="K812" s="16"/>
      <c r="L812" s="16"/>
      <c r="N812" s="840" t="str">
        <f t="shared" si="109"/>
        <v>x</v>
      </c>
    </row>
    <row r="813" spans="1:14" ht="12.75" customHeight="1">
      <c r="A813" s="17" t="s">
        <v>9</v>
      </c>
      <c r="B813" s="17" t="str">
        <f>IF('[2]E-Geb'!A11="","-",'[2]E-Geb'!A11)</f>
        <v>Rinderstall (Warmstall)</v>
      </c>
      <c r="C813" s="18"/>
      <c r="D813" s="19"/>
      <c r="H813" s="20"/>
      <c r="I813" s="21"/>
      <c r="J813" s="21"/>
      <c r="K813" s="23">
        <f>IF(L813="","","│")</f>
      </c>
      <c r="L813" s="24">
        <f>IF(OR(B813="-",N813="",AND(D813="",H813="")),"",1)</f>
      </c>
      <c r="N813" s="839" t="str">
        <f t="shared" si="109"/>
        <v>x</v>
      </c>
    </row>
    <row r="814" spans="1:14" ht="12.75" customHeight="1">
      <c r="A814" s="1"/>
      <c r="B814" s="95" t="str">
        <f>'[2]E-Geb'!P14&amp;" "&amp;'[2]E-Geb'!B14</f>
        <v>Formel Kubatur</v>
      </c>
      <c r="C814" s="18"/>
      <c r="D814" s="19"/>
      <c r="H814" s="20"/>
      <c r="I814" s="29">
        <f>IF(AND(D814="",H814=""),"",IF(H814=D814,"Richtig!",IF(H814="","Fehlt","Falsch")))</f>
      </c>
      <c r="J814" s="29"/>
      <c r="K814" s="23">
        <f>IF(L814="","","│")</f>
      </c>
      <c r="L814" s="24">
        <f>IF(OR(B814="-",N814="",AND(D814="",H814="")),"",1)</f>
      </c>
      <c r="N814" s="839" t="str">
        <f t="shared" si="109"/>
        <v>x</v>
      </c>
    </row>
    <row r="815" spans="1:14" ht="12.75" customHeight="1">
      <c r="A815" s="1"/>
      <c r="B815" s="3" t="s">
        <v>90</v>
      </c>
      <c r="C815" s="42" t="str">
        <f>IF('[2]E-Geb'!$C$14="","",'[2]E-Geb'!$C$14)</f>
        <v>Ri</v>
      </c>
      <c r="D815" s="26" t="str">
        <f>IF('[2]E-Geb'!F14="","",'[2]E-Geb'!F14)</f>
        <v>Länge</v>
      </c>
      <c r="E815" s="27"/>
      <c r="F815" s="27"/>
      <c r="H815" s="96">
        <f>IF(Geb!F14="","",Geb!F14)</f>
      </c>
      <c r="I815" s="29" t="str">
        <f>IF(H815="","Fehlt",IF(OR(D816&lt;&gt;H816,D818&lt;&gt;H818),"Falsch",IF(AND(D815="",H815=""),"",IF(AND(H815&lt;&gt;H817,H815&lt;&gt;H819,OR(H815=D815,H815=D817,H815=D819)),"Richtig!","Falsch"))))</f>
        <v>Fehlt</v>
      </c>
      <c r="J815" s="30">
        <f>IF(OR(N815&lt;&gt;"x",AND(D815="",H815="")),"-",IF(I815="Richtig!",0.2,IF(I815="Formel: OK",0.1,IF(OR(I815="Falsch",I815="Fehlt"),0,""))))</f>
        <v>0</v>
      </c>
      <c r="K815" s="23" t="s">
        <v>521</v>
      </c>
      <c r="L815" s="24">
        <f>IF(OR(N815&lt;&gt;"x",AND(D815="",H815="")),"-",0.2)</f>
        <v>0.2</v>
      </c>
      <c r="N815" s="841" t="str">
        <f t="shared" si="109"/>
        <v>x</v>
      </c>
    </row>
    <row r="816" spans="1:14" ht="12.75" customHeight="1">
      <c r="A816" s="1"/>
      <c r="B816" s="98" t="s">
        <v>91</v>
      </c>
      <c r="C816" s="42" t="str">
        <f>IF('[2]E-Geb'!$C$14="","",'[2]E-Geb'!$C$14)</f>
        <v>Ri</v>
      </c>
      <c r="D816" s="26" t="str">
        <f>IF('[2]E-Geb'!H14="","",'[2]E-Geb'!H14)</f>
        <v>x</v>
      </c>
      <c r="E816" s="27"/>
      <c r="F816" s="27"/>
      <c r="H816" s="96">
        <f>IF(Geb!H14="","",Geb!H14)</f>
      </c>
      <c r="I816" s="29" t="str">
        <f>IF(AND(D816="",H816=""),"",IF(H816=D816,"Richtig!",IF(H816="","Fehlt","Falsch")))</f>
        <v>Fehlt</v>
      </c>
      <c r="J816" s="30">
        <f>IF(OR(N816&lt;&gt;"x",AND(D816="",H816="")),"-",IF(I816="Richtig!",0.2,IF(I816="Formel: OK",0.1,IF(OR(I816="Falsch",I816="Fehlt"),0,""))))</f>
        <v>0</v>
      </c>
      <c r="K816" s="23" t="s">
        <v>521</v>
      </c>
      <c r="L816" s="24">
        <f>IF(OR(N816&lt;&gt;"x",AND(D816="",H816="")),"-",0.2)</f>
        <v>0.2</v>
      </c>
      <c r="N816" s="841" t="str">
        <f t="shared" si="109"/>
        <v>x</v>
      </c>
    </row>
    <row r="817" spans="1:14" ht="12.75" customHeight="1">
      <c r="A817" s="1"/>
      <c r="B817" s="3" t="s">
        <v>92</v>
      </c>
      <c r="C817" s="42" t="str">
        <f>IF('[2]E-Geb'!$C$14="","",'[2]E-Geb'!$C$14)</f>
        <v>Ri</v>
      </c>
      <c r="D817" s="26" t="str">
        <f>IF('[2]E-Geb'!J14="","",'[2]E-Geb'!J14)</f>
        <v>Breite</v>
      </c>
      <c r="E817" s="27"/>
      <c r="F817" s="27"/>
      <c r="H817" s="96">
        <f>IF(Geb!J14="","",Geb!J14)</f>
      </c>
      <c r="I817" s="29" t="str">
        <f>IF(H817="","Fehlt",IF(OR(D816&lt;&gt;H816,D818&lt;&gt;H818),"Falsch",IF(AND(D817="",H817=""),"",IF(AND(H817&lt;&gt;H815,H817&lt;&gt;H819,OR(H817=D815,H817=D817,H817=D819)),"Richtig!","Falsch"))))</f>
        <v>Fehlt</v>
      </c>
      <c r="J817" s="30">
        <f>IF(OR(N817&lt;&gt;"x",AND(D817="",H817="")),"-",IF(I817="Richtig!",0.2,IF(I817="Formel: OK",0.1,IF(OR(I817="Falsch",I817="Fehlt"),0,""))))</f>
        <v>0</v>
      </c>
      <c r="K817" s="23" t="s">
        <v>521</v>
      </c>
      <c r="L817" s="24">
        <f>IF(OR(N817&lt;&gt;"x",AND(D817="",H817="")),"-",0.2)</f>
        <v>0.2</v>
      </c>
      <c r="N817" s="841" t="str">
        <f t="shared" si="109"/>
        <v>x</v>
      </c>
    </row>
    <row r="818" spans="1:14" ht="12.75" customHeight="1">
      <c r="A818" s="1"/>
      <c r="B818" s="98" t="s">
        <v>93</v>
      </c>
      <c r="C818" s="42" t="str">
        <f>IF('[2]E-Geb'!$C$14="","",'[2]E-Geb'!$C$14)</f>
        <v>Ri</v>
      </c>
      <c r="D818" s="26" t="str">
        <f>IF('[2]E-Geb'!L14="","",'[2]E-Geb'!L14)</f>
        <v>x</v>
      </c>
      <c r="E818" s="27"/>
      <c r="F818" s="27"/>
      <c r="H818" s="96">
        <f>IF(Geb!L14="","",Geb!L14)</f>
      </c>
      <c r="I818" s="29" t="str">
        <f>IF(AND(D818="",H818=""),"",IF(H818=D818,"Richtig!",IF(H818="","Fehlt","Falsch")))</f>
        <v>Fehlt</v>
      </c>
      <c r="J818" s="30">
        <f>IF(OR(N818&lt;&gt;"x",AND(D818="",H818="")),"-",IF(I818="Richtig!",0.2,IF(I818="Formel: OK",0.1,IF(OR(I818="Falsch",I818="Fehlt"),0,""))))</f>
        <v>0</v>
      </c>
      <c r="K818" s="23" t="s">
        <v>521</v>
      </c>
      <c r="L818" s="24">
        <f>IF(OR(N818&lt;&gt;"x",AND(D818="",H818="")),"-",0.2)</f>
        <v>0.2</v>
      </c>
      <c r="N818" s="841" t="str">
        <f t="shared" si="109"/>
        <v>x</v>
      </c>
    </row>
    <row r="819" spans="1:14" ht="12.75" customHeight="1">
      <c r="A819" s="1"/>
      <c r="B819" s="3" t="s">
        <v>94</v>
      </c>
      <c r="C819" s="42" t="str">
        <f>IF('[2]E-Geb'!$C$14="","",'[2]E-Geb'!$C$14)</f>
        <v>Ri</v>
      </c>
      <c r="D819" s="26" t="str">
        <f>IF('[2]E-Geb'!N14="","",'[2]E-Geb'!N14)</f>
        <v>Höhe</v>
      </c>
      <c r="E819" s="27"/>
      <c r="F819" s="27"/>
      <c r="H819" s="96">
        <f>IF(Geb!N14="","",Geb!N14)</f>
      </c>
      <c r="I819" s="29" t="str">
        <f>IF(H819="","Fehlt",IF(OR(D816&lt;&gt;H816,D818&lt;&gt;H818),"Falsch",IF(AND(D819="",H819=""),"",IF(AND(H819&lt;&gt;H817,H819&lt;&gt;H815,OR(H819=D815,H819=D817,H819=D819)),"Richtig!","Falsch"))))</f>
        <v>Fehlt</v>
      </c>
      <c r="J819" s="30">
        <f>IF(OR(N819&lt;&gt;"x",AND(D819="",H819="")),"-",IF(I819="Richtig!",0.2,IF(I819="Formel: OK",0.1,IF(OR(I819="Falsch",I819="Fehlt"),0,""))))</f>
        <v>0</v>
      </c>
      <c r="K819" s="23" t="s">
        <v>521</v>
      </c>
      <c r="L819" s="24">
        <f>IF(OR(N819&lt;&gt;"x",AND(D819="",H819="")),"-",0.2)</f>
        <v>0.2</v>
      </c>
      <c r="N819" s="841" t="str">
        <f t="shared" si="109"/>
        <v>x</v>
      </c>
    </row>
    <row r="820" spans="1:14" ht="12.75" customHeight="1">
      <c r="A820" s="1"/>
      <c r="B820" s="99" t="str">
        <f>'[2]E-Geb'!P17&amp;" "&amp;'[2]E-Geb'!B17</f>
        <v>Ergebnis Kubatur</v>
      </c>
      <c r="C820" s="42" t="str">
        <f>IF('[2]E-Geb'!$C$14="","",'[2]E-Geb'!$C$14)</f>
        <v>Ri</v>
      </c>
      <c r="D820" s="26">
        <f>IF('[2]E-Geb'!F17="","",'[2]E-Geb'!F17)</f>
        <v>1080</v>
      </c>
      <c r="E820" s="27"/>
      <c r="F820" s="27"/>
      <c r="H820" s="96">
        <f>IF(Geb!F17="","",Geb!F17)</f>
      </c>
      <c r="I820" s="29" t="str">
        <f>IF(AND(D820="",H820=""),"",IF(H820=D820,"Richtig!",IF(H820="","Fehlt","Falsch")))</f>
        <v>Fehlt</v>
      </c>
      <c r="J820" s="30">
        <f>IF(OR($N820&lt;&gt;"x",AND(D820="",H820="")),"-",IF(I820="Richtig!",1,IF(I820="Formel: OK",0.5,IF(OR(I820="Falsch",I820="Fehlt"),0,""))))</f>
        <v>0</v>
      </c>
      <c r="K820" s="23" t="s">
        <v>521</v>
      </c>
      <c r="L820" s="24">
        <f>IF(OR($N820&lt;&gt;"x",AND(D820="",H820="")),"-",1)</f>
        <v>1</v>
      </c>
      <c r="N820" s="841" t="str">
        <f t="shared" si="109"/>
        <v>x</v>
      </c>
    </row>
    <row r="821" spans="1:14" ht="12.75" customHeight="1">
      <c r="A821" s="1"/>
      <c r="B821" s="95" t="str">
        <f>'[2]E-Geb'!P14&amp;" "&amp;'[2]E-Geb'!B21</f>
        <v>Formel Alter</v>
      </c>
      <c r="C821" s="42"/>
      <c r="D821" s="19"/>
      <c r="H821" s="5"/>
      <c r="I821" s="29">
        <f>IF(AND(D821="",H821=""),"",IF(H821=D821,"Richtig!",IF(H821="","Fehlt","Falsch")))</f>
      </c>
      <c r="J821" s="22">
        <f>IF(AND(D821="",H821=""),"",IF(I821="Richtig!",1,IF(I821="Formel: OK",0.5,IF(OR(I821="Falsch",I821="Fehlt"),0,""))))</f>
      </c>
      <c r="K821" s="23" t="s">
        <v>521</v>
      </c>
      <c r="L821" s="24">
        <f>IF(AND(D821="",H821=""),"",1)</f>
      </c>
      <c r="N821" s="841" t="str">
        <f t="shared" si="109"/>
        <v>x</v>
      </c>
    </row>
    <row r="822" spans="1:14" ht="12.75" customHeight="1">
      <c r="A822" s="1"/>
      <c r="B822" s="3" t="s">
        <v>90</v>
      </c>
      <c r="C822" s="42" t="str">
        <f>IF('[2]E-Geb'!$C$14="","",'[2]E-Geb'!$C$14)</f>
        <v>Ri</v>
      </c>
      <c r="D822" s="26" t="str">
        <f>IF('[2]E-Geb'!F21="","",'[2]E-Geb'!F21)</f>
        <v>Aktuelles Jahr</v>
      </c>
      <c r="E822" s="27"/>
      <c r="F822" s="27"/>
      <c r="H822" s="96">
        <f>IF(Geb!F21="","",Geb!F21)</f>
      </c>
      <c r="I822" s="29" t="str">
        <f>IF(H822="","Fehlt",IF(D823&lt;&gt;H823,"Falsch",IF(AND(D822="",H822=""),"",IF(H822=D822,"Richtig!","Falsch"))))</f>
        <v>Fehlt</v>
      </c>
      <c r="J822" s="794">
        <f>IF(OR(N822&lt;&gt;"x",AND(D822="",H822="")),"-",IF(I822="Richtig!",1/3,IF(I822="Formel: OK",1/6,IF(OR(I822="Falsch",I822="Fehlt"),0,""))))</f>
        <v>0</v>
      </c>
      <c r="K822" s="23" t="s">
        <v>521</v>
      </c>
      <c r="L822" s="795">
        <f>IF(OR(N822&lt;&gt;"x",AND(D822="",H822="")),"-",1/3)</f>
        <v>0.3333333333333333</v>
      </c>
      <c r="N822" s="841" t="str">
        <f t="shared" si="109"/>
        <v>x</v>
      </c>
    </row>
    <row r="823" spans="1:14" ht="12.75" customHeight="1">
      <c r="A823" s="1"/>
      <c r="B823" s="98" t="s">
        <v>91</v>
      </c>
      <c r="C823" s="42" t="str">
        <f>IF('[2]E-Geb'!$C$14="","",'[2]E-Geb'!$C$14)</f>
        <v>Ri</v>
      </c>
      <c r="D823" s="26" t="str">
        <f>IF('[2]E-Geb'!H21="","",'[2]E-Geb'!H21)</f>
        <v>-</v>
      </c>
      <c r="E823" s="27"/>
      <c r="F823" s="27"/>
      <c r="H823" s="96">
        <f>IF(Geb!H21="","",Geb!H21)</f>
      </c>
      <c r="I823" s="29" t="str">
        <f>IF(AND(D823="",H823=""),"",IF(H823=D823,"Richtig!",IF(H823="","Fehlt","Falsch")))</f>
        <v>Fehlt</v>
      </c>
      <c r="J823" s="794">
        <f>IF(OR(N823&lt;&gt;"x",AND(D823="",H823="")),"-",IF(I823="Richtig!",1/3,IF(I823="Formel: OK",1/6,IF(OR(I823="Falsch",I823="Fehlt"),0,""))))</f>
        <v>0</v>
      </c>
      <c r="K823" s="23" t="s">
        <v>521</v>
      </c>
      <c r="L823" s="795">
        <f>IF(OR(N823&lt;&gt;"x",AND(D823="",H823="")),"-",1/3)</f>
        <v>0.3333333333333333</v>
      </c>
      <c r="N823" s="841" t="str">
        <f t="shared" si="109"/>
        <v>x</v>
      </c>
    </row>
    <row r="824" spans="1:14" ht="12.75" customHeight="1">
      <c r="A824" s="1"/>
      <c r="B824" s="3" t="s">
        <v>92</v>
      </c>
      <c r="C824" s="42" t="str">
        <f>IF('[2]E-Geb'!$C$14="","",'[2]E-Geb'!$C$14)</f>
        <v>Ri</v>
      </c>
      <c r="D824" s="26" t="str">
        <f>IF('[2]E-Geb'!J21="","",'[2]E-Geb'!J21)</f>
        <v>Anschaffungsjahr</v>
      </c>
      <c r="E824" s="27"/>
      <c r="F824" s="27"/>
      <c r="H824" s="96">
        <f>IF(Geb!J21="","",Geb!J21)</f>
      </c>
      <c r="I824" s="29" t="str">
        <f>IF(H824="","Fehlt",IF(D823&lt;&gt;H823,"Falsch",IF(AND(D824="",H824=""),"",IF(H824=D824,"Richtig!","Falsch"))))</f>
        <v>Fehlt</v>
      </c>
      <c r="J824" s="794">
        <f>IF(OR(N824&lt;&gt;"x",AND(D824="",H824="")),"-",IF(I824="Richtig!",1/3,IF(I824="Formel: OK",1/6,IF(OR(I824="Falsch",I824="Fehlt"),0,""))))</f>
        <v>0</v>
      </c>
      <c r="K824" s="23" t="s">
        <v>521</v>
      </c>
      <c r="L824" s="795">
        <f>IF(OR(N824&lt;&gt;"x",AND(D824="",H824="")),"-",1/3)</f>
        <v>0.3333333333333333</v>
      </c>
      <c r="N824" s="841" t="str">
        <f t="shared" si="109"/>
        <v>x</v>
      </c>
    </row>
    <row r="825" spans="1:14" ht="12.75" customHeight="1">
      <c r="A825" s="1"/>
      <c r="B825" s="99" t="str">
        <f>'[2]E-Geb'!P17&amp;" "&amp;'[2]E-Geb'!B24</f>
        <v>Ergebnis Alter</v>
      </c>
      <c r="C825" s="42" t="str">
        <f>IF('[2]E-Geb'!$C$14="","",'[2]E-Geb'!$C$14)</f>
        <v>Ri</v>
      </c>
      <c r="D825" s="26">
        <f>IF('[2]E-Geb'!F24="","",'[2]E-Geb'!F24)</f>
        <v>11</v>
      </c>
      <c r="E825" s="27"/>
      <c r="F825" s="27"/>
      <c r="H825" s="96">
        <f>IF(Geb!F24="","",Geb!F24)</f>
      </c>
      <c r="I825" s="29" t="str">
        <f>IF(AND(D825="",H825=""),"",IF(H825=D825,"Richtig!",IF(H825="","Fehlt","Falsch")))</f>
        <v>Fehlt</v>
      </c>
      <c r="J825" s="30">
        <f>IF(OR($N825&lt;&gt;"x",AND(D825="",H825="")),"-",IF(I825="Richtig!",1,IF(I825="Formel: OK",0.5,IF(OR(I825="Falsch",I825="Fehlt"),0,""))))</f>
        <v>0</v>
      </c>
      <c r="K825" s="23" t="s">
        <v>521</v>
      </c>
      <c r="L825" s="24">
        <f>IF(OR($N825&lt;&gt;"x",AND(D825="",H825="")),"-",1)</f>
        <v>1</v>
      </c>
      <c r="N825" s="841" t="str">
        <f t="shared" si="109"/>
        <v>x</v>
      </c>
    </row>
    <row r="826" spans="1:14" ht="12.75" customHeight="1">
      <c r="A826" s="1"/>
      <c r="B826" s="95" t="str">
        <f>"Vergleich - Nutzungsdauer und "&amp;'[2]E-Geb'!B24</f>
        <v>Vergleich - Nutzungsdauer und Alter</v>
      </c>
      <c r="C826" s="42"/>
      <c r="D826" s="19"/>
      <c r="H826" s="5"/>
      <c r="I826" s="29"/>
      <c r="J826" s="22"/>
      <c r="K826" s="23"/>
      <c r="L826" s="24">
        <f>IF(AND(D826="",H826=""),"",1)</f>
      </c>
      <c r="N826" s="841" t="str">
        <f t="shared" si="109"/>
        <v>x</v>
      </c>
    </row>
    <row r="827" spans="1:14" ht="12.75" customHeight="1">
      <c r="A827" s="1"/>
      <c r="B827" s="25" t="str">
        <f>IF('[2]E-Geb'!N24="","-",'[2]E-Geb'!N24)</f>
        <v>≤ 1/4 Nutzungsdauer</v>
      </c>
      <c r="C827" s="42" t="str">
        <f>IF('[2]E-Geb'!$C$14="","",'[2]E-Geb'!$C$14)</f>
        <v>Ri</v>
      </c>
      <c r="D827" s="31" t="str">
        <f>IF(AND('[2]E-Geb'!L24="",'[2]E-Geb'!L26="",'[2]E-Geb'!L28=""),"-",IF('[2]E-Geb'!L24="","",'[2]E-Geb'!L24))</f>
        <v>x</v>
      </c>
      <c r="E827" s="27"/>
      <c r="F827" s="32" t="str">
        <f>IF(AND(H827="",H828="",H829=""),"-",IF(D825&lt;=Geb!B7/4,"x",""))</f>
        <v>-</v>
      </c>
      <c r="G827" s="1"/>
      <c r="H827" s="97">
        <f>IF(AND(Geb!L24="",Geb!L26="",Geb!L28=""),"",IF(Geb!L24="","",Geb!L24))</f>
      </c>
      <c r="I827" s="29" t="str">
        <f>IF(AND(H827=D827,D828=H828,D829=H829),"Richtig!",IF(AND(AND(D827&lt;&gt;H827,F827=H827),AND(D828&lt;&gt;H828,F828=H828),AND(D829&lt;&gt;H829,F829=H829)),"Formel: OK",IF(AND(H827="",H828="",H829=""),"Fehlt","Falsch")))</f>
        <v>Fehlt</v>
      </c>
      <c r="J827" s="30">
        <f>IF(OR(N827&lt;&gt;"x",B827="-"),"-",IF(I827="Richtig!",1,IF(I827="Formel: OK",0.5,IF(OR(I827="Falsch",I827="Fehlt"),0,""))))</f>
        <v>0</v>
      </c>
      <c r="K827" s="23" t="s">
        <v>521</v>
      </c>
      <c r="L827" s="24">
        <f>IF(OR(N827&lt;&gt;"x",AND(D827="",H827="",D828="",H828="",D829="",H829="")),"-",1)</f>
        <v>1</v>
      </c>
      <c r="N827" s="841" t="str">
        <f t="shared" si="109"/>
        <v>x</v>
      </c>
    </row>
    <row r="828" spans="1:14" ht="12.75" customHeight="1">
      <c r="A828" s="1"/>
      <c r="B828" s="25" t="str">
        <f>IF('[2]E-Geb'!N26="","-",'[2]E-Geb'!N26)</f>
        <v>&gt; 1/4 und &lt;1/2 Nutzungsdauer</v>
      </c>
      <c r="C828" s="42" t="str">
        <f>IF('[2]E-Geb'!$C$14="","",'[2]E-Geb'!$C$14)</f>
        <v>Ri</v>
      </c>
      <c r="D828" s="31">
        <f>IF(AND('[2]E-Geb'!L24="",'[2]E-Geb'!L26="",'[2]E-Geb'!L28=""),"-",IF('[2]E-Geb'!L26="","",'[2]E-Geb'!L26))</f>
      </c>
      <c r="E828" s="27"/>
      <c r="F828" s="32" t="str">
        <f>IF(AND(H827="",H828="",H829=""),"-",IF(AND(D825&gt;Geb!B7/4,D825&lt;Geb!B7/2),"x",""))</f>
        <v>-</v>
      </c>
      <c r="G828" s="1"/>
      <c r="H828" s="97">
        <f>IF(AND(Geb!L24="",Geb!L26="",Geb!L28=""),"",IF(Geb!L26="","",Geb!L26))</f>
      </c>
      <c r="I828" s="29"/>
      <c r="J828" s="22"/>
      <c r="K828" s="23"/>
      <c r="L828" s="24"/>
      <c r="N828" s="841" t="str">
        <f t="shared" si="109"/>
        <v>x</v>
      </c>
    </row>
    <row r="829" spans="1:14" ht="12.75" customHeight="1">
      <c r="A829" s="1"/>
      <c r="B829" s="25" t="str">
        <f>IF('[2]E-Geb'!N28="","-",'[2]E-Geb'!N28)</f>
        <v>≥ 1/2 Nutzungsdauer</v>
      </c>
      <c r="C829" s="42" t="str">
        <f>IF('[2]E-Geb'!$C$14="","",'[2]E-Geb'!$C$14)</f>
        <v>Ri</v>
      </c>
      <c r="D829" s="31">
        <f>IF(AND('[2]E-Geb'!L24="",'[2]E-Geb'!L26="",'[2]E-Geb'!L28=""),"-",IF('[2]E-Geb'!L28="","",'[2]E-Geb'!L28))</f>
      </c>
      <c r="E829" s="27"/>
      <c r="F829" s="32" t="str">
        <f>IF(AND(H827="",H828="",H829=""),"-",IF(D825&gt;=Geb!B7/24,"x",""))</f>
        <v>-</v>
      </c>
      <c r="G829" s="1"/>
      <c r="H829" s="97">
        <f>IF(AND(Geb!L24="",Geb!L26="",Geb!L28=""),"",IF(Geb!L28="","",Geb!L28))</f>
      </c>
      <c r="I829" s="29"/>
      <c r="J829" s="22"/>
      <c r="K829" s="23"/>
      <c r="L829" s="24"/>
      <c r="N829" s="841" t="str">
        <f t="shared" si="109"/>
        <v>x</v>
      </c>
    </row>
    <row r="830" spans="1:14" ht="12.75">
      <c r="A830" s="1"/>
      <c r="B830" s="95" t="str">
        <f>'[2]E-Geb'!P14&amp;" Wiederbeschaffungswert"</f>
        <v>Formel Wiederbeschaffungswert</v>
      </c>
      <c r="C830" s="42"/>
      <c r="D830" s="19"/>
      <c r="H830" s="5"/>
      <c r="I830" s="29">
        <f>IF(OR(B830="-",AND(D830="",H830="")),"",IF(H830=D830,"Richtig!",IF(H830="","Fehlt","Falsch")))</f>
      </c>
      <c r="J830" s="22">
        <f>IF(B830="-","",IF(I830="Richtig!",1,IF(I830="Formel: OK",0.5,IF(OR(I830="Falsch",I830="Fehlt"),0,""))))</f>
      </c>
      <c r="K830" s="23" t="s">
        <v>521</v>
      </c>
      <c r="L830" s="24">
        <f>IF(AND(D830="",H830=""),"",1)</f>
      </c>
      <c r="N830" s="841" t="str">
        <f t="shared" si="109"/>
        <v>x</v>
      </c>
    </row>
    <row r="831" spans="1:14" ht="12.75" customHeight="1">
      <c r="A831" s="18"/>
      <c r="B831" s="3" t="s">
        <v>90</v>
      </c>
      <c r="C831" s="42" t="str">
        <f>IF('[2]E-Geb'!$C$14="","",'[2]E-Geb'!$C$14)</f>
        <v>Ri</v>
      </c>
      <c r="D831" s="26" t="str">
        <f>IF('[2]E-Geb'!F34="","",'[2]E-Geb'!F34)</f>
        <v>Kubatur</v>
      </c>
      <c r="E831" s="27"/>
      <c r="F831" s="27"/>
      <c r="H831" s="96">
        <f>IF(Geb!F34="","",Geb!F34)</f>
      </c>
      <c r="I831" s="1011" t="str">
        <f>IF(H831="","Fehlt",IF(D832&lt;&gt;H832,"Falsch",IF(AND(D831="",H831=""),"",IF(AND(H831&lt;&gt;H833,OR(H831=D831,H831=D833)),"Richtig!","Falsch"))))</f>
        <v>Fehlt</v>
      </c>
      <c r="J831" s="794">
        <f>IF(OR(N831&lt;&gt;"x",AND(D831="",H831="")),"-",IF(I831="Richtig!",1/3,IF(I831="Formel: OK",1/6,IF(OR(I831="Falsch",I831="Fehlt"),0,""))))</f>
        <v>0</v>
      </c>
      <c r="K831" s="23" t="s">
        <v>521</v>
      </c>
      <c r="L831" s="795">
        <f>IF(OR(N831&lt;&gt;"x",AND(D831="",H831="")),"-",1/3)</f>
        <v>0.3333333333333333</v>
      </c>
      <c r="N831" s="841" t="str">
        <f t="shared" si="109"/>
        <v>x</v>
      </c>
    </row>
    <row r="832" spans="1:14" ht="12.75">
      <c r="A832" s="18"/>
      <c r="B832" s="98" t="s">
        <v>91</v>
      </c>
      <c r="C832" s="42" t="str">
        <f>IF('[2]E-Geb'!$C$14="","",'[2]E-Geb'!$C$14)</f>
        <v>Ri</v>
      </c>
      <c r="D832" s="26" t="str">
        <f>IF('[2]E-Geb'!H34="","",'[2]E-Geb'!H34)</f>
        <v>x</v>
      </c>
      <c r="E832" s="27"/>
      <c r="F832" s="27"/>
      <c r="H832" s="96">
        <f>IF(Geb!H34="","",Geb!H34)</f>
      </c>
      <c r="I832" s="1011" t="str">
        <f>IF(AND(D832="",H832=""),"",IF(H832=D832,"Richtig!",IF(H832="","Fehlt","Falsch")))</f>
        <v>Fehlt</v>
      </c>
      <c r="J832" s="794">
        <f>IF(OR(N832&lt;&gt;"x",AND(D832="",H832="")),"-",IF(I832="Richtig!",1/3,IF(I832="Formel: OK",1/6,IF(OR(I832="Falsch",I832="Fehlt"),0,""))))</f>
        <v>0</v>
      </c>
      <c r="K832" s="23" t="s">
        <v>521</v>
      </c>
      <c r="L832" s="795">
        <f>IF(OR(N832&lt;&gt;"x",AND(D832="",H832="")),"-",1/3)</f>
        <v>0.3333333333333333</v>
      </c>
      <c r="N832" s="841" t="str">
        <f t="shared" si="109"/>
        <v>x</v>
      </c>
    </row>
    <row r="833" spans="1:14" ht="12.75">
      <c r="A833" s="18"/>
      <c r="B833" s="3" t="s">
        <v>92</v>
      </c>
      <c r="C833" s="42" t="str">
        <f>IF('[2]E-Geb'!$C$14="","",'[2]E-Geb'!$C$14)</f>
        <v>Ri</v>
      </c>
      <c r="D833" s="26" t="str">
        <f>IF('[2]E-Geb'!J34="","",'[2]E-Geb'!J34)</f>
        <v>Red. BK-Richtsatz</v>
      </c>
      <c r="E833" s="27"/>
      <c r="F833" s="27"/>
      <c r="H833" s="96">
        <f>IF(Geb!J34="","",Geb!J34)</f>
      </c>
      <c r="I833" s="1011" t="str">
        <f>IF(H833="","Fehlt",IF(D832&lt;&gt;H832,"Falsch",IF(AND(D833="",H833=""),"",IF(AND(H833&lt;&gt;H831,OR(H833=D831,H833=D833)),"Richtig!","Falsch"))))</f>
        <v>Fehlt</v>
      </c>
      <c r="J833" s="794">
        <f>IF(OR(N833&lt;&gt;"x",AND(D833="",H833="")),"-",IF(I833="Richtig!",1/3,IF(I833="Formel: OK",1/6,IF(OR(I833="Falsch",I833="Fehlt"),0,""))))</f>
        <v>0</v>
      </c>
      <c r="K833" s="23" t="s">
        <v>521</v>
      </c>
      <c r="L833" s="795">
        <f>IF(OR(N833&lt;&gt;"x",AND(D833="",H833="")),"-",1/3)</f>
        <v>0.3333333333333333</v>
      </c>
      <c r="N833" s="841" t="str">
        <f aca="true" t="shared" si="110" ref="N833:N859">IF($L$1="","",$L$1)</f>
        <v>x</v>
      </c>
    </row>
    <row r="834" spans="1:14" ht="12.75" customHeight="1">
      <c r="A834" s="18"/>
      <c r="B834" s="92" t="str">
        <f>'[2]E-Geb'!P17&amp;" Wiederbeschaffungswert"</f>
        <v>Ergebnis Wiederbeschaffungswert</v>
      </c>
      <c r="C834" s="42" t="str">
        <f>IF('[2]E-Geb'!$C$14="","",'[2]E-Geb'!$C$14)</f>
        <v>Ri</v>
      </c>
      <c r="D834" s="31">
        <f>IF('[2]E-Geb'!F37="","",'[2]E-Geb'!F37)</f>
        <v>151632</v>
      </c>
      <c r="E834" s="27"/>
      <c r="F834" s="32" t="str">
        <f>IF(OR(H820="",Geb!F31=""),"-",H820*Geb!F31)</f>
        <v>-</v>
      </c>
      <c r="G834" s="1"/>
      <c r="H834" s="97">
        <f>IF(Geb!F37="","",Geb!F37)</f>
      </c>
      <c r="I834" s="29" t="str">
        <f>IF(AND(D834="",H834=""),"",IF(H834=D834,"Richtig!",IF(H834="","Fehlt","Falsch")))</f>
        <v>Fehlt</v>
      </c>
      <c r="J834" s="30">
        <f>IF(OR($N834&lt;&gt;"x",AND(D834="",H834="")),"-",IF(I834="Richtig!",1,IF(I834="Formel: OK",0.5,IF(OR(I834="Falsch",I834="Fehlt"),0,""))))</f>
        <v>0</v>
      </c>
      <c r="K834" s="23" t="s">
        <v>521</v>
      </c>
      <c r="L834" s="24">
        <f>IF(OR($N834&lt;&gt;"x",AND(D834="",H834="")),"-",1)</f>
        <v>1</v>
      </c>
      <c r="N834" s="841" t="str">
        <f t="shared" si="110"/>
        <v>x</v>
      </c>
    </row>
    <row r="835" spans="1:14" ht="12.75">
      <c r="A835" s="17" t="s">
        <v>17</v>
      </c>
      <c r="B835" s="17" t="s">
        <v>616</v>
      </c>
      <c r="C835" s="18"/>
      <c r="D835" s="19"/>
      <c r="H835" s="5"/>
      <c r="I835" s="21">
        <f>IF(OR(B835="-",AND(D835="",H835="")),"",IF(H835=D835,"Richtig!",IF(H835="","Fehlt","Falsch")))</f>
      </c>
      <c r="J835" s="22">
        <f>IF(B835="-","",IF(I835="Richtig!",1,IF(I835="Formel: OK",0.5,IF(OR(I835="Falsch",I835="Fehlt"),0,""))))</f>
      </c>
      <c r="K835" s="23" t="s">
        <v>521</v>
      </c>
      <c r="L835" s="24">
        <f>IF(AND(D835="",H835=""),"",1)</f>
      </c>
      <c r="N835" s="841" t="str">
        <f t="shared" si="110"/>
        <v>x</v>
      </c>
    </row>
    <row r="836" spans="1:14" ht="12.75">
      <c r="A836" s="1"/>
      <c r="B836" s="95" t="str">
        <f>'[2]E-Geb'!P14&amp;" "&amp;'[2]E-Geb'!B41</f>
        <v>Formel jAfa</v>
      </c>
      <c r="C836" s="42"/>
      <c r="D836" s="19"/>
      <c r="H836" s="5"/>
      <c r="I836" s="29"/>
      <c r="J836" s="22"/>
      <c r="K836" s="23"/>
      <c r="L836" s="24"/>
      <c r="N836" s="841" t="str">
        <f t="shared" si="110"/>
        <v>x</v>
      </c>
    </row>
    <row r="837" spans="1:14" ht="12.75">
      <c r="A837" s="18"/>
      <c r="B837" s="36" t="s">
        <v>90</v>
      </c>
      <c r="C837" s="42" t="str">
        <f>IF('[2]E-Geb'!$C$44="","",'[2]E-Geb'!$C$44)</f>
        <v>Ri</v>
      </c>
      <c r="D837" s="26" t="str">
        <f>IF('[2]E-Geb'!F41="","",'[2]E-Geb'!F41)</f>
        <v>Wiederbeschaffungswert</v>
      </c>
      <c r="E837" s="27"/>
      <c r="F837" s="27"/>
      <c r="H837" s="96">
        <f>IF(Geb!F41="","",Geb!F41)</f>
      </c>
      <c r="I837" s="29" t="str">
        <f>IF(OR(B837="-",AND(D837="",H837="")),"",IF(H837=D837,"Richtig!",IF(H837="","Fehlt","Falsch")))</f>
        <v>Fehlt</v>
      </c>
      <c r="J837" s="794">
        <f>IF(OR(N837&lt;&gt;"x",B837="-"),"-",IF(I837="Richtig!",1/2,IF(I837="Formel: OK",1/4,IF(OR(I837="Falsch",I837="Fehlt"),0,""))))</f>
        <v>0</v>
      </c>
      <c r="K837" s="23" t="s">
        <v>521</v>
      </c>
      <c r="L837" s="24">
        <f>IF(OR(N837&lt;&gt;"x",AND(D837="",H837="")),"-",1/2)</f>
        <v>0.5</v>
      </c>
      <c r="N837" s="841" t="str">
        <f t="shared" si="110"/>
        <v>x</v>
      </c>
    </row>
    <row r="838" spans="1:14" ht="12.75">
      <c r="A838" s="18"/>
      <c r="B838" s="36" t="s">
        <v>91</v>
      </c>
      <c r="C838" s="42" t="str">
        <f>IF('[2]E-Geb'!$C$44="","",'[2]E-Geb'!$C$44)</f>
        <v>Ri</v>
      </c>
      <c r="D838" s="26" t="str">
        <f>IF('[2]E-Geb'!F44="","",'[2]E-Geb'!F44)</f>
        <v>Nutzungsdauer</v>
      </c>
      <c r="E838" s="27"/>
      <c r="F838" s="27"/>
      <c r="H838" s="96">
        <f>IF(Geb!F44="","",Geb!F44)</f>
      </c>
      <c r="I838" s="29" t="str">
        <f>IF(OR(B838="-",AND(D838="",H838="")),"",IF(H838=D838,"Richtig!",IF(H838="","Fehlt","Falsch")))</f>
        <v>Fehlt</v>
      </c>
      <c r="J838" s="794">
        <f>IF(OR(N838&lt;&gt;"x",B838="-"),"-",IF(I838="Richtig!",1/2,IF(I838="Formel: OK",1/4,IF(OR(I838="Falsch",I838="Fehlt"),0,""))))</f>
        <v>0</v>
      </c>
      <c r="K838" s="23" t="s">
        <v>521</v>
      </c>
      <c r="L838" s="24">
        <f>IF(OR(N838&lt;&gt;"x",AND(D838="",H838="")),"-",1/2)</f>
        <v>0.5</v>
      </c>
      <c r="N838" s="841" t="str">
        <f t="shared" si="110"/>
        <v>x</v>
      </c>
    </row>
    <row r="839" spans="1:14" ht="12.75" customHeight="1">
      <c r="A839" s="18"/>
      <c r="B839" s="92" t="str">
        <f>'[2]E-Geb'!$P$17&amp;" "&amp;'[2]E-Geb'!B41</f>
        <v>Ergebnis jAfa</v>
      </c>
      <c r="C839" s="42" t="str">
        <f>IF('[2]E-Geb'!$C$44="","",'[2]E-Geb'!$C$44)</f>
        <v>Ri</v>
      </c>
      <c r="D839" s="31">
        <f>IF('[2]E-Geb'!F47="","",'[2]E-Geb'!F47)</f>
        <v>3369.6</v>
      </c>
      <c r="E839" s="27"/>
      <c r="F839" s="32" t="str">
        <f>IF(OR(H834="",Geb!B7=""),"-",H834/Geb!B7)</f>
        <v>-</v>
      </c>
      <c r="G839" s="1"/>
      <c r="H839" s="97">
        <f>IF(Geb!F47="","",Geb!F47)</f>
      </c>
      <c r="I839" s="29" t="str">
        <f>IF(AND(D839="",H839=""),"",IF(H839=D839,"Richtig!",IF(H839="","Fehlt","Falsch")))</f>
        <v>Fehlt</v>
      </c>
      <c r="J839" s="30">
        <f>IF(OR($N839&lt;&gt;"x",AND(D839="",H839="")),"-",IF(I839="Richtig!",1,IF(I839="Formel: OK",0.5,IF(OR(I839="Falsch",I839="Fehlt"),0,""))))</f>
        <v>0</v>
      </c>
      <c r="K839" s="23" t="s">
        <v>521</v>
      </c>
      <c r="L839" s="24">
        <f>IF(OR($N839&lt;&gt;"x",AND(D839="",H839="")),"-",1)</f>
        <v>1</v>
      </c>
      <c r="N839" s="841" t="str">
        <f t="shared" si="110"/>
        <v>x</v>
      </c>
    </row>
    <row r="840" spans="1:14" ht="12.75">
      <c r="A840" s="1"/>
      <c r="B840" s="95" t="str">
        <f>'[2]E-Geb'!$P$14&amp;" "&amp;'[2]E-Geb'!B50</f>
        <v>Formel bAfa</v>
      </c>
      <c r="C840" s="42"/>
      <c r="D840" s="19"/>
      <c r="H840" s="5"/>
      <c r="I840" s="29"/>
      <c r="J840" s="22"/>
      <c r="K840" s="23"/>
      <c r="L840" s="24"/>
      <c r="N840" s="841" t="str">
        <f t="shared" si="110"/>
        <v>x</v>
      </c>
    </row>
    <row r="841" spans="1:14" ht="12.75">
      <c r="A841" s="18"/>
      <c r="B841" s="36" t="s">
        <v>90</v>
      </c>
      <c r="C841" s="42" t="str">
        <f>IF('[2]E-Geb'!$C$44="","",'[2]E-Geb'!$C$44)</f>
        <v>Ri</v>
      </c>
      <c r="D841" s="26" t="str">
        <f>IF('[2]E-Geb'!F50="","",'[2]E-Geb'!F50)</f>
        <v>Jährliche Afa</v>
      </c>
      <c r="E841" s="27"/>
      <c r="F841" s="27"/>
      <c r="H841" s="96">
        <f>IF(Geb!F50="","",Geb!F50)</f>
      </c>
      <c r="I841" s="1011" t="str">
        <f>IF(H841="","Fehlt",IF(D842&lt;&gt;H842,"Falsch",IF(AND(D841="",H841=""),"",IF(AND(H841&lt;&gt;H843,OR(H841=D841,H841=D843)),"Richtig!","Falsch"))))</f>
        <v>Fehlt</v>
      </c>
      <c r="J841" s="794">
        <f>IF(OR(N841&lt;&gt;"x",AND(D841="",H841="")),"-",IF(I841="Richtig!",1/3,IF(I841="Formel: OK",1/6,IF(OR(I841="Falsch",I841="Fehlt"),0,""))))</f>
        <v>0</v>
      </c>
      <c r="K841" s="23" t="s">
        <v>521</v>
      </c>
      <c r="L841" s="795">
        <f>IF(OR(N841&lt;&gt;"x",AND(D841="",H841="")),"-",1/3)</f>
        <v>0.3333333333333333</v>
      </c>
      <c r="N841" s="841" t="str">
        <f t="shared" si="110"/>
        <v>x</v>
      </c>
    </row>
    <row r="842" spans="1:14" ht="12.75">
      <c r="A842" s="18"/>
      <c r="B842" s="36" t="s">
        <v>91</v>
      </c>
      <c r="C842" s="42" t="str">
        <f>IF('[2]E-Geb'!$C$44="","",'[2]E-Geb'!$C$44)</f>
        <v>Ri</v>
      </c>
      <c r="D842" s="26" t="str">
        <f>IF('[2]E-Geb'!H50="","",'[2]E-Geb'!H50)</f>
        <v>x</v>
      </c>
      <c r="E842" s="27"/>
      <c r="F842" s="27"/>
      <c r="H842" s="96">
        <f>IF(Geb!H50="","",Geb!H50)</f>
      </c>
      <c r="I842" s="1011" t="str">
        <f>IF(AND(D842="",H842=""),"",IF(H842=D842,"Richtig!",IF(H842="","Fehlt","Falsch")))</f>
        <v>Fehlt</v>
      </c>
      <c r="J842" s="794">
        <f>IF(OR(N842&lt;&gt;"x",AND(D842="",H842="")),"-",IF(I842="Richtig!",1/3,IF(I842="Formel: OK",1/6,IF(OR(I842="Falsch",I842="Fehlt"),0,""))))</f>
        <v>0</v>
      </c>
      <c r="K842" s="23" t="s">
        <v>521</v>
      </c>
      <c r="L842" s="795">
        <f>IF(OR(N842&lt;&gt;"x",AND(D842="",H842="")),"-",1/3)</f>
        <v>0.3333333333333333</v>
      </c>
      <c r="N842" s="841" t="str">
        <f t="shared" si="110"/>
        <v>x</v>
      </c>
    </row>
    <row r="843" spans="1:14" ht="12.75">
      <c r="A843" s="18"/>
      <c r="B843" s="36" t="s">
        <v>92</v>
      </c>
      <c r="C843" s="42" t="str">
        <f>IF('[2]E-Geb'!$C$44="","",'[2]E-Geb'!$C$44)</f>
        <v>Ri</v>
      </c>
      <c r="D843" s="26" t="str">
        <f>IF('[2]E-Geb'!J50="","",'[2]E-Geb'!J50)</f>
        <v>Alter</v>
      </c>
      <c r="E843" s="27"/>
      <c r="F843" s="27"/>
      <c r="H843" s="96">
        <f>IF(Geb!J50="","",Geb!J50)</f>
      </c>
      <c r="I843" s="1011" t="str">
        <f>IF(H843="","Fehlt",IF(D842&lt;&gt;H842,"Falsch",IF(AND(D843="",H843=""),"",IF(AND(H843&lt;&gt;H841,OR(H843=D841,H843=D843)),"Richtig!","Falsch"))))</f>
        <v>Fehlt</v>
      </c>
      <c r="J843" s="794">
        <f>IF(OR(N843&lt;&gt;"x",AND(D843="",H843="")),"-",IF(I843="Richtig!",1/3,IF(I843="Formel: OK",1/6,IF(OR(I843="Falsch",I843="Fehlt"),0,""))))</f>
        <v>0</v>
      </c>
      <c r="K843" s="23" t="s">
        <v>521</v>
      </c>
      <c r="L843" s="795">
        <f>IF(OR(N843&lt;&gt;"x",AND(D843="",H843="")),"-",1/3)</f>
        <v>0.3333333333333333</v>
      </c>
      <c r="N843" s="841" t="str">
        <f t="shared" si="110"/>
        <v>x</v>
      </c>
    </row>
    <row r="844" spans="1:14" ht="12.75">
      <c r="A844" s="18"/>
      <c r="B844" s="92" t="str">
        <f>'[2]E-Geb'!$P$17&amp;" "&amp;'[2]E-Geb'!B50</f>
        <v>Ergebnis bAfa</v>
      </c>
      <c r="C844" s="42" t="str">
        <f>IF('[2]E-Geb'!$C$44="","",'[2]E-Geb'!$C$44)</f>
        <v>Ri</v>
      </c>
      <c r="D844" s="31">
        <f>IF('[2]E-Geb'!F55="","",'[2]E-Geb'!F55)</f>
        <v>37065.6</v>
      </c>
      <c r="E844" s="27"/>
      <c r="F844" s="32" t="str">
        <f>IF(OR(H839="",H825=""),"-",H839*H825)</f>
        <v>-</v>
      </c>
      <c r="G844" s="1"/>
      <c r="H844" s="97">
        <f>IF(Geb!L55&lt;&gt;"","abgeschrieben",IF(Geb!F55="","",Geb!F55))</f>
      </c>
      <c r="I844" s="29" t="str">
        <f>IF(AND(D844="",H844=""),"",IF(H844=D844,"Richtig!",IF(H844="","Fehlt","Falsch")))</f>
        <v>Fehlt</v>
      </c>
      <c r="J844" s="30">
        <f>IF(OR($N844&lt;&gt;"x",AND(D844="",H844="")),"-",IF(I844="Richtig!",1,IF(I844="Formel: OK",0.5,IF(OR(I844="Falsch",I844="Fehlt"),0,""))))</f>
        <v>0</v>
      </c>
      <c r="K844" s="23" t="s">
        <v>521</v>
      </c>
      <c r="L844" s="24">
        <f>IF(OR($N844&lt;&gt;"x",AND(D844="",H844="")),"-",1)</f>
        <v>1</v>
      </c>
      <c r="N844" s="841" t="str">
        <f t="shared" si="110"/>
        <v>x</v>
      </c>
    </row>
    <row r="845" spans="1:14" ht="12.75">
      <c r="A845" s="1"/>
      <c r="B845" s="95" t="str">
        <f>'[2]E-Geb'!$P$14&amp;" "&amp;'[2]E-Geb'!B60</f>
        <v>Formel ZW1.1.</v>
      </c>
      <c r="C845" s="42"/>
      <c r="D845" s="19"/>
      <c r="H845" s="5"/>
      <c r="I845" s="29"/>
      <c r="J845" s="22"/>
      <c r="K845" s="23"/>
      <c r="L845" s="24"/>
      <c r="N845" s="841" t="str">
        <f t="shared" si="110"/>
        <v>x</v>
      </c>
    </row>
    <row r="846" spans="1:14" ht="12.75">
      <c r="A846" s="18"/>
      <c r="B846" s="36" t="s">
        <v>90</v>
      </c>
      <c r="C846" s="42" t="str">
        <f>IF('[2]E-Geb'!$C$44="","",'[2]E-Geb'!$C$44)</f>
        <v>Ri</v>
      </c>
      <c r="D846" s="26" t="str">
        <f>IF('[2]E-Geb'!F60="","",'[2]E-Geb'!F60)</f>
        <v>Wiederbeschaffungswert</v>
      </c>
      <c r="E846" s="27"/>
      <c r="F846" s="27"/>
      <c r="H846" s="96">
        <f>IF(Geb!F60="","",Geb!F60)</f>
      </c>
      <c r="I846" s="29" t="str">
        <f>IF(H846="","Fehlt",IF(D847&lt;&gt;H847,"Falsch",IF(AND(D846="",H846=""),"",IF(H846=D846,"Richtig!","Falsch"))))</f>
        <v>Fehlt</v>
      </c>
      <c r="J846" s="794">
        <f>IF(OR(N846&lt;&gt;"x",AND(D846="",H846="")),"-",IF(I846="Richtig!",1/3,IF(I846="Formel: OK",1/6,IF(OR(I846="Falsch",I846="Fehlt"),0,""))))</f>
        <v>0</v>
      </c>
      <c r="K846" s="23" t="s">
        <v>521</v>
      </c>
      <c r="L846" s="795">
        <f>IF(OR(N846&lt;&gt;"x",AND(D846="",H846="")),"-",1/3)</f>
        <v>0.3333333333333333</v>
      </c>
      <c r="N846" s="841" t="str">
        <f t="shared" si="110"/>
        <v>x</v>
      </c>
    </row>
    <row r="847" spans="1:14" ht="12.75">
      <c r="A847" s="18"/>
      <c r="B847" s="36" t="s">
        <v>91</v>
      </c>
      <c r="C847" s="42" t="str">
        <f>IF('[2]E-Geb'!$C$44="","",'[2]E-Geb'!$C$44)</f>
        <v>Ri</v>
      </c>
      <c r="D847" s="26" t="str">
        <f>IF('[2]E-Geb'!H60="","",'[2]E-Geb'!H60)</f>
        <v>-</v>
      </c>
      <c r="E847" s="27"/>
      <c r="F847" s="27"/>
      <c r="H847" s="96">
        <f>IF(Geb!H60="","",Geb!H60)</f>
      </c>
      <c r="I847" s="29" t="str">
        <f>IF(AND(D847="",H847=""),"",IF(H847=D847,"Richtig!",IF(H847="","Fehlt","Falsch")))</f>
        <v>Fehlt</v>
      </c>
      <c r="J847" s="794">
        <f>IF(OR(N847&lt;&gt;"x",AND(D847="",H847="")),"-",IF(I847="Richtig!",1/3,IF(I847="Formel: OK",1/6,IF(OR(I847="Falsch",I847="Fehlt"),0,""))))</f>
        <v>0</v>
      </c>
      <c r="K847" s="23" t="s">
        <v>521</v>
      </c>
      <c r="L847" s="795">
        <f>IF(OR(N847&lt;&gt;"x",AND(D847="",H847="")),"-",1/3)</f>
        <v>0.3333333333333333</v>
      </c>
      <c r="N847" s="841" t="str">
        <f t="shared" si="110"/>
        <v>x</v>
      </c>
    </row>
    <row r="848" spans="1:14" ht="12.75">
      <c r="A848" s="18"/>
      <c r="B848" s="36" t="s">
        <v>92</v>
      </c>
      <c r="C848" s="42" t="str">
        <f>IF('[2]E-Geb'!$C$44="","",'[2]E-Geb'!$C$44)</f>
        <v>Ri</v>
      </c>
      <c r="D848" s="26" t="str">
        <f>IF('[2]E-Geb'!J60="","",'[2]E-Geb'!J60)</f>
        <v>Bisherige Afa</v>
      </c>
      <c r="E848" s="27"/>
      <c r="F848" s="27"/>
      <c r="H848" s="96">
        <f>IF(Geb!J60="","",Geb!J60)</f>
      </c>
      <c r="I848" s="29" t="str">
        <f>IF(H848="","Fehlt",IF(D847&lt;&gt;H847,"Falsch",IF(AND(D848="",H848=""),"",IF(H848=D848,"Richtig!","Falsch"))))</f>
        <v>Fehlt</v>
      </c>
      <c r="J848" s="794">
        <f>IF(OR(N848&lt;&gt;"x",AND(D848="",H848="")),"-",IF(I848="Richtig!",1/3,IF(I848="Formel: OK",1/6,IF(OR(I848="Falsch",I848="Fehlt"),0,""))))</f>
        <v>0</v>
      </c>
      <c r="K848" s="23" t="s">
        <v>521</v>
      </c>
      <c r="L848" s="795">
        <f>IF(OR(N848&lt;&gt;"x",AND(D848="",H848="")),"-",1/3)</f>
        <v>0.3333333333333333</v>
      </c>
      <c r="N848" s="841" t="str">
        <f t="shared" si="110"/>
        <v>x</v>
      </c>
    </row>
    <row r="849" spans="1:14" ht="12.75">
      <c r="A849" s="18"/>
      <c r="B849" s="92" t="str">
        <f>'[2]E-Geb'!$P$17&amp;" "&amp;'[2]E-Geb'!B60</f>
        <v>Ergebnis ZW1.1.</v>
      </c>
      <c r="C849" s="42" t="str">
        <f>IF('[2]E-Geb'!$C$44="","",'[2]E-Geb'!$C$44)</f>
        <v>Ri</v>
      </c>
      <c r="D849" s="31">
        <f>IF('[2]E-Geb'!F63="","",'[2]E-Geb'!F63)</f>
        <v>114566.4</v>
      </c>
      <c r="E849" s="27"/>
      <c r="F849" s="32" t="str">
        <f>IF(OR(H834="",H844="",H844="abgeschrieben"),"-",H834-H844)</f>
        <v>-</v>
      </c>
      <c r="G849" s="1"/>
      <c r="H849" s="97">
        <f>IF(Geb!F63="","",Geb!F63)</f>
      </c>
      <c r="I849" s="29" t="str">
        <f>IF(AND(D849="",H849=""),"",IF(H849=D849,"Richtig!",IF(H849="","Fehlt","Falsch")))</f>
        <v>Fehlt</v>
      </c>
      <c r="J849" s="30">
        <f>IF(OR($N849&lt;&gt;"x",AND(D849="",H849="")),"-",IF(I849="Richtig!",1,IF(I849="Formel: OK",0.5,IF(OR(I849="Falsch",I849="Fehlt"),0,""))))</f>
        <v>0</v>
      </c>
      <c r="K849" s="23" t="s">
        <v>521</v>
      </c>
      <c r="L849" s="24">
        <f>IF(OR($N849&lt;&gt;"x",AND(D849="",H849="")),"-",1)</f>
        <v>1</v>
      </c>
      <c r="N849" s="841" t="str">
        <f t="shared" si="110"/>
        <v>x</v>
      </c>
    </row>
    <row r="850" spans="1:14" ht="12.75">
      <c r="A850" s="1"/>
      <c r="B850" s="95" t="str">
        <f>'[2]E-Geb'!$P$14&amp;" "&amp;'[2]E-Geb'!B66</f>
        <v>Formel ZW31.12.</v>
      </c>
      <c r="C850" s="42"/>
      <c r="D850" s="19"/>
      <c r="H850" s="5"/>
      <c r="I850" s="29"/>
      <c r="J850" s="22"/>
      <c r="K850" s="23"/>
      <c r="L850" s="24"/>
      <c r="N850" s="841" t="str">
        <f t="shared" si="110"/>
        <v>x</v>
      </c>
    </row>
    <row r="851" spans="1:14" ht="12.75" customHeight="1">
      <c r="A851" s="18"/>
      <c r="B851" s="36" t="s">
        <v>90</v>
      </c>
      <c r="C851" s="42" t="str">
        <f>IF('[2]E-Geb'!$C$44="","",'[2]E-Geb'!$C$44)</f>
        <v>Ri</v>
      </c>
      <c r="D851" s="26" t="str">
        <f>IF('[2]E-Geb'!F66="","",'[2]E-Geb'!F66)</f>
        <v>Zeitwert1.1.</v>
      </c>
      <c r="E851" s="27"/>
      <c r="F851" s="27"/>
      <c r="H851" s="96">
        <f>IF(Geb!F66="","",Geb!F66)</f>
      </c>
      <c r="I851" s="29" t="str">
        <f>IF(H851="","Fehlt",IF(D852&lt;&gt;H852,"Falsch",IF(AND(D851="",H851=""),"",IF(H851=D851,"Richtig!","Falsch"))))</f>
        <v>Fehlt</v>
      </c>
      <c r="J851" s="794">
        <f>IF(OR(N851&lt;&gt;"x",AND(D851="",H851="")),"-",IF(I851="Richtig!",1/3,IF(I851="Formel: OK",1/6,IF(OR(I851="Falsch",I851="Fehlt"),0,""))))</f>
        <v>0</v>
      </c>
      <c r="K851" s="23" t="s">
        <v>521</v>
      </c>
      <c r="L851" s="795">
        <f>IF(OR(N851&lt;&gt;"x",AND(D851="",H851="")),"-",1/3)</f>
        <v>0.3333333333333333</v>
      </c>
      <c r="N851" s="841" t="str">
        <f t="shared" si="110"/>
        <v>x</v>
      </c>
    </row>
    <row r="852" spans="1:14" ht="12.75">
      <c r="A852" s="18"/>
      <c r="B852" s="36" t="s">
        <v>91</v>
      </c>
      <c r="C852" s="42" t="str">
        <f>IF('[2]E-Geb'!$C$44="","",'[2]E-Geb'!$C$44)</f>
        <v>Ri</v>
      </c>
      <c r="D852" s="26" t="str">
        <f>IF('[2]E-Geb'!H66="","",'[2]E-Geb'!H66)</f>
        <v>-</v>
      </c>
      <c r="E852" s="27"/>
      <c r="F852" s="27"/>
      <c r="H852" s="96">
        <f>IF(Geb!H66="","",Geb!H66)</f>
      </c>
      <c r="I852" s="29" t="str">
        <f>IF(AND(D852="",H852=""),"",IF(H852=D852,"Richtig!",IF(H852="","Fehlt","Falsch")))</f>
        <v>Fehlt</v>
      </c>
      <c r="J852" s="794">
        <f>IF(OR(N852&lt;&gt;"x",AND(D852="",H852="")),"-",IF(I852="Richtig!",1/3,IF(I852="Formel: OK",1/6,IF(OR(I852="Falsch",I852="Fehlt"),0,""))))</f>
        <v>0</v>
      </c>
      <c r="K852" s="23" t="s">
        <v>521</v>
      </c>
      <c r="L852" s="795">
        <f>IF(OR(N852&lt;&gt;"x",AND(D852="",H852="")),"-",1/3)</f>
        <v>0.3333333333333333</v>
      </c>
      <c r="N852" s="841" t="str">
        <f t="shared" si="110"/>
        <v>x</v>
      </c>
    </row>
    <row r="853" spans="1:14" ht="12.75">
      <c r="A853" s="18"/>
      <c r="B853" s="36" t="s">
        <v>92</v>
      </c>
      <c r="C853" s="42" t="str">
        <f>IF('[2]E-Geb'!$C$44="","",'[2]E-Geb'!$C$44)</f>
        <v>Ri</v>
      </c>
      <c r="D853" s="26" t="str">
        <f>IF('[2]E-Geb'!J66="","",'[2]E-Geb'!J66)</f>
        <v>Jährliche Afa</v>
      </c>
      <c r="E853" s="27"/>
      <c r="F853" s="27"/>
      <c r="H853" s="96">
        <f>IF(Geb!J66="","",Geb!J66)</f>
      </c>
      <c r="I853" s="29" t="str">
        <f>IF(H853="","Fehlt",IF(D852&lt;&gt;H852,"Falsch",IF(AND(D853="",H853=""),"",IF(H853=D853,"Richtig!","Falsch"))))</f>
        <v>Fehlt</v>
      </c>
      <c r="J853" s="794">
        <f>IF(OR(N853&lt;&gt;"x",AND(D853="",H853="")),"-",IF(I853="Richtig!",1/3,IF(I853="Formel: OK",1/6,IF(OR(I853="Falsch",I853="Fehlt"),0,""))))</f>
        <v>0</v>
      </c>
      <c r="K853" s="23" t="s">
        <v>521</v>
      </c>
      <c r="L853" s="795">
        <f>IF(OR(N853&lt;&gt;"x",AND(D853="",H853="")),"-",1/3)</f>
        <v>0.3333333333333333</v>
      </c>
      <c r="N853" s="841" t="str">
        <f t="shared" si="110"/>
        <v>x</v>
      </c>
    </row>
    <row r="854" spans="1:14" ht="12.75">
      <c r="A854" s="18"/>
      <c r="B854" s="92" t="str">
        <f>'[2]E-Geb'!$P$17&amp;" "&amp;'[2]E-Geb'!B66</f>
        <v>Ergebnis ZW31.12.</v>
      </c>
      <c r="C854" s="42" t="str">
        <f>IF('[2]E-Geb'!$C$44="","",'[2]E-Geb'!$C$44)</f>
        <v>Ri</v>
      </c>
      <c r="D854" s="31">
        <f>IF('[2]E-Geb'!F69="","",'[2]E-Geb'!F69)</f>
        <v>111196.79999999999</v>
      </c>
      <c r="E854" s="27"/>
      <c r="F854" s="32" t="str">
        <f>IF(OR(H849="",H839=""),"-",H849-H839)</f>
        <v>-</v>
      </c>
      <c r="G854" s="1"/>
      <c r="H854" s="97">
        <f>IF(Geb!F69="","",Geb!F69)</f>
      </c>
      <c r="I854" s="29" t="str">
        <f>IF(AND(D854="",H854=""),"",IF(H854=D854,"Richtig!",IF(H854="","Fehlt","Falsch")))</f>
        <v>Fehlt</v>
      </c>
      <c r="J854" s="30">
        <f>IF(OR($N854&lt;&gt;"x",AND(D854="",H854="")),"-",IF(I854="Richtig!",1,IF(I854="Formel: OK",0.5,IF(OR(I854="Falsch",I854="Fehlt"),0,""))))</f>
        <v>0</v>
      </c>
      <c r="K854" s="23" t="s">
        <v>521</v>
      </c>
      <c r="L854" s="24">
        <f>IF(OR($N854&lt;&gt;"x",AND(D854="",H854="")),"-",1)</f>
        <v>1</v>
      </c>
      <c r="N854" s="841" t="str">
        <f t="shared" si="110"/>
        <v>x</v>
      </c>
    </row>
    <row r="855" spans="1:14" ht="12.75">
      <c r="A855" s="18"/>
      <c r="B855" s="92"/>
      <c r="C855" s="42"/>
      <c r="D855" s="100"/>
      <c r="E855" s="27"/>
      <c r="F855" s="32"/>
      <c r="H855" s="834"/>
      <c r="I855" s="29"/>
      <c r="J855" s="101"/>
      <c r="K855" s="23"/>
      <c r="L855" s="24"/>
      <c r="N855" s="842" t="str">
        <f t="shared" si="110"/>
        <v>x</v>
      </c>
    </row>
    <row r="856" spans="1:14" ht="19.5">
      <c r="A856" s="10" t="s">
        <v>101</v>
      </c>
      <c r="B856" s="11"/>
      <c r="C856" s="12"/>
      <c r="D856" s="13"/>
      <c r="E856" s="13"/>
      <c r="F856" s="14"/>
      <c r="G856" s="12"/>
      <c r="H856" s="14"/>
      <c r="I856" s="15"/>
      <c r="J856" s="16"/>
      <c r="K856" s="16"/>
      <c r="L856" s="16"/>
      <c r="N856" s="840" t="str">
        <f t="shared" si="110"/>
        <v>x</v>
      </c>
    </row>
    <row r="857" spans="1:14" ht="12.75">
      <c r="A857" s="17" t="s">
        <v>9</v>
      </c>
      <c r="B857" s="17" t="s">
        <v>527</v>
      </c>
      <c r="C857" s="42"/>
      <c r="D857" s="29"/>
      <c r="E857" s="29"/>
      <c r="F857" s="32"/>
      <c r="H857" s="29"/>
      <c r="I857" s="29"/>
      <c r="J857" s="30">
        <f>ErgInt!O267</f>
        <v>0</v>
      </c>
      <c r="K857" s="23" t="s">
        <v>521</v>
      </c>
      <c r="L857" s="24">
        <f>IF(N857&lt;&gt;"x","",ErgInt!Q267)</f>
        <v>79</v>
      </c>
      <c r="N857" s="841" t="str">
        <f t="shared" si="110"/>
        <v>x</v>
      </c>
    </row>
    <row r="858" spans="1:14" ht="19.5" customHeight="1">
      <c r="A858" s="18"/>
      <c r="B858" s="36"/>
      <c r="C858" s="42"/>
      <c r="D858" s="29"/>
      <c r="E858" s="29"/>
      <c r="F858" s="32"/>
      <c r="H858" s="29"/>
      <c r="I858" s="29"/>
      <c r="J858" s="101"/>
      <c r="K858" s="23"/>
      <c r="L858" s="24"/>
      <c r="N858" s="842" t="str">
        <f t="shared" si="110"/>
        <v>x</v>
      </c>
    </row>
    <row r="859" spans="1:14" ht="15">
      <c r="A859" s="102" t="s">
        <v>95</v>
      </c>
      <c r="B859" s="103"/>
      <c r="C859" s="103"/>
      <c r="D859" s="796">
        <f>COUNT(D9:D858)</f>
        <v>473</v>
      </c>
      <c r="E859" s="1020"/>
      <c r="F859" s="1020"/>
      <c r="G859" s="1020"/>
      <c r="H859" s="797">
        <f>COUNT(H9:H858)</f>
        <v>230</v>
      </c>
      <c r="I859" s="104"/>
      <c r="J859" s="105">
        <f>SUM(J9:J858)</f>
        <v>0</v>
      </c>
      <c r="K859" s="106" t="str">
        <f>IF(L859="","","│")</f>
        <v>│</v>
      </c>
      <c r="L859" s="104">
        <f>SUM(L9:L858)</f>
        <v>293.0000000000001</v>
      </c>
      <c r="N859" s="841" t="str">
        <f t="shared" si="110"/>
        <v>x</v>
      </c>
    </row>
    <row r="860" spans="1:14" ht="3" customHeight="1">
      <c r="A860" s="107"/>
      <c r="B860" s="107"/>
      <c r="C860" s="107"/>
      <c r="D860" s="107"/>
      <c r="E860" s="107"/>
      <c r="F860" s="107"/>
      <c r="G860" s="108"/>
      <c r="H860" s="109"/>
      <c r="I860" s="108"/>
      <c r="J860" s="107"/>
      <c r="K860" s="107"/>
      <c r="L860" s="110"/>
      <c r="N860" s="836" t="str">
        <f>N859</f>
        <v>x</v>
      </c>
    </row>
    <row r="861" ht="49.5" customHeight="1"/>
    <row r="862" spans="1:15" ht="22.5">
      <c r="A862" s="112" t="s">
        <v>96</v>
      </c>
      <c r="B862" s="113"/>
      <c r="C862" s="1018">
        <f>IF(L859=0,"",J859/L859)</f>
        <v>0</v>
      </c>
      <c r="D862" s="1018"/>
      <c r="E862" s="1018"/>
      <c r="F862" s="1018"/>
      <c r="G862" s="1018"/>
      <c r="H862" s="1018"/>
      <c r="I862" s="114"/>
      <c r="J862" s="114"/>
      <c r="K862" s="114"/>
      <c r="L862" s="114"/>
      <c r="N862" s="115"/>
      <c r="O862" s="115"/>
    </row>
    <row r="863" spans="1:15" ht="23.25">
      <c r="A863" s="116"/>
      <c r="B863" s="117">
        <f>C863-I867+J866</f>
        <v>258.0000000000001</v>
      </c>
      <c r="C863" s="118">
        <f>L859</f>
        <v>293.0000000000001</v>
      </c>
      <c r="D863" s="119" t="str">
        <f>IF(AND(J859&gt;=B863-0.5,J859&lt;=C863),"u","j")</f>
        <v>j</v>
      </c>
      <c r="E863" s="917">
        <f>IF(OR(J859=B863-0.5,J859=B863),"-","")</f>
      </c>
      <c r="F863" s="119"/>
      <c r="I863" s="120"/>
      <c r="J863" s="121"/>
      <c r="K863" s="120"/>
      <c r="L863" s="58"/>
      <c r="N863" s="122"/>
      <c r="O863" s="122"/>
    </row>
    <row r="864" spans="1:15" ht="23.25">
      <c r="A864" s="116"/>
      <c r="B864" s="117">
        <f>C864-I867+J866</f>
        <v>222.0000000000001</v>
      </c>
      <c r="C864" s="123">
        <f>B863-1</f>
        <v>257.0000000000001</v>
      </c>
      <c r="D864" s="119" t="str">
        <f>IF(AND(J859&gt;=B864-0.5,J859&lt;=C864),"v","k")</f>
        <v>k</v>
      </c>
      <c r="E864" s="917">
        <f>IF(OR(J859=B864-0.5,J859=B864),"-",IF(OR(J859=C864-0.5,J859=C864),"+",""))</f>
      </c>
      <c r="F864" s="119"/>
      <c r="I864" s="120"/>
      <c r="J864" s="121"/>
      <c r="K864" s="120"/>
      <c r="L864" s="58"/>
      <c r="N864" s="122"/>
      <c r="O864" s="122"/>
    </row>
    <row r="865" spans="1:15" ht="23.25">
      <c r="A865" s="116"/>
      <c r="B865" s="117">
        <f>C865-I867</f>
        <v>183.0000000000001</v>
      </c>
      <c r="C865" s="123">
        <f>B864-1</f>
        <v>221.0000000000001</v>
      </c>
      <c r="D865" s="119" t="str">
        <f>IF(AND(J859&gt;=B865-0.5,J859&lt;=C865),"w","l")</f>
        <v>l</v>
      </c>
      <c r="E865" s="917">
        <f>IF(OR(J859=B865-0.5,J859=B865),"-",IF(OR(J859=C865-0.5,J859=C865),"+",""))</f>
      </c>
      <c r="F865" s="119"/>
      <c r="I865" s="800" t="s">
        <v>97</v>
      </c>
      <c r="J865" s="801" t="s">
        <v>98</v>
      </c>
      <c r="K865" s="802"/>
      <c r="L865" s="803"/>
      <c r="N865" s="122"/>
      <c r="O865" s="122"/>
    </row>
    <row r="866" spans="1:15" ht="23.25">
      <c r="A866" s="116"/>
      <c r="B866" s="117">
        <f>C866-I867</f>
        <v>144.0000000000001</v>
      </c>
      <c r="C866" s="123">
        <f>B865-1</f>
        <v>182.0000000000001</v>
      </c>
      <c r="D866" s="119" t="str">
        <f>IF(AND(J859&gt;=B866-0.5,J859&lt;=C866),"x","m")</f>
        <v>m</v>
      </c>
      <c r="E866" s="917">
        <f>IF(OR(J859=B866-0.5,J859=B866),"-",IF(OR(J859=C866-0.5,J859=C866),"+",""))</f>
      </c>
      <c r="F866" s="119"/>
      <c r="G866" s="124" t="s">
        <v>99</v>
      </c>
      <c r="I866" s="804">
        <v>0.13</v>
      </c>
      <c r="J866" s="805">
        <v>3</v>
      </c>
      <c r="K866" s="802"/>
      <c r="L866" s="803"/>
      <c r="N866" s="122"/>
      <c r="O866" s="122"/>
    </row>
    <row r="867" spans="1:15" ht="23.25">
      <c r="A867" s="116"/>
      <c r="B867" s="125">
        <v>0</v>
      </c>
      <c r="C867" s="123">
        <f>B866-1</f>
        <v>143.0000000000001</v>
      </c>
      <c r="D867" s="119" t="str">
        <f>IF(L859=0,"",IF(AND(J859&gt;=B867-0.5,J859&lt;=C867),"y","n"))</f>
        <v>y</v>
      </c>
      <c r="E867" s="917">
        <f>IF(OR(J859=C867-1,J859=C867-0.5,J859=C867),"+","")</f>
      </c>
      <c r="F867" s="119"/>
      <c r="G867" s="126"/>
      <c r="H867" s="127"/>
      <c r="I867" s="1019">
        <f>ROUND(L859*I866,0)</f>
        <v>38</v>
      </c>
      <c r="J867" s="1019"/>
      <c r="K867" s="802"/>
      <c r="L867" s="803"/>
      <c r="N867" s="122"/>
      <c r="O867" s="122"/>
    </row>
    <row r="868" spans="1:12" ht="12.75">
      <c r="A868" s="113"/>
      <c r="B868" s="113"/>
      <c r="C868" s="113"/>
      <c r="D868" s="113"/>
      <c r="E868" s="113"/>
      <c r="F868" s="113"/>
      <c r="G868" s="113"/>
      <c r="H868" s="128"/>
      <c r="I868" s="113"/>
      <c r="J868" s="113"/>
      <c r="K868" s="113"/>
      <c r="L868" s="113"/>
    </row>
    <row r="869" ht="15" customHeight="1" hidden="1"/>
    <row r="870" ht="15" customHeight="1" hidden="1">
      <c r="B870"/>
    </row>
    <row r="871" ht="15" customHeight="1" hidden="1">
      <c r="B871"/>
    </row>
    <row r="872" ht="15" customHeight="1" hidden="1">
      <c r="B872"/>
    </row>
    <row r="873" ht="15" customHeight="1" hidden="1">
      <c r="B873"/>
    </row>
    <row r="874" ht="15" customHeight="1" hidden="1">
      <c r="B874"/>
    </row>
    <row r="875" ht="15" customHeight="1" hidden="1">
      <c r="B875"/>
    </row>
    <row r="876" ht="15" customHeight="1" hidden="1">
      <c r="B876"/>
    </row>
    <row r="877" ht="15" customHeight="1" hidden="1">
      <c r="B877"/>
    </row>
    <row r="878" ht="15" customHeight="1" hidden="1">
      <c r="B878"/>
    </row>
    <row r="879" ht="15" customHeight="1" hidden="1">
      <c r="B879"/>
    </row>
    <row r="880" ht="15" customHeight="1" hidden="1">
      <c r="B880"/>
    </row>
    <row r="881" ht="15" customHeight="1" hidden="1">
      <c r="B881"/>
    </row>
    <row r="882" ht="15" customHeight="1" hidden="1">
      <c r="B882"/>
    </row>
    <row r="883" ht="15" customHeight="1" hidden="1">
      <c r="B883"/>
    </row>
    <row r="884" ht="15" customHeight="1" hidden="1">
      <c r="B884"/>
    </row>
    <row r="885" ht="15" customHeight="1" hidden="1">
      <c r="B885"/>
    </row>
    <row r="886" ht="15" customHeight="1" hidden="1">
      <c r="B886"/>
    </row>
    <row r="887" ht="15" customHeight="1" hidden="1">
      <c r="B887"/>
    </row>
    <row r="888" ht="15" customHeight="1" hidden="1">
      <c r="B888"/>
    </row>
    <row r="889" ht="15" customHeight="1" hidden="1">
      <c r="B889"/>
    </row>
    <row r="890" ht="15" customHeight="1" hidden="1">
      <c r="B890"/>
    </row>
    <row r="891" ht="15" customHeight="1" hidden="1">
      <c r="B891"/>
    </row>
    <row r="892" ht="15" customHeight="1" hidden="1">
      <c r="B892"/>
    </row>
    <row r="893" ht="15" customHeight="1" hidden="1">
      <c r="B893"/>
    </row>
    <row r="894" ht="15" customHeight="1" hidden="1">
      <c r="B894"/>
    </row>
    <row r="895" ht="15" customHeight="1" hidden="1">
      <c r="B895"/>
    </row>
    <row r="896" ht="15" customHeight="1" hidden="1">
      <c r="B896"/>
    </row>
    <row r="897" ht="15" customHeight="1" hidden="1">
      <c r="B897"/>
    </row>
    <row r="898" ht="15" customHeight="1" hidden="1">
      <c r="B898"/>
    </row>
    <row r="899" ht="15" customHeight="1" hidden="1">
      <c r="B899"/>
    </row>
    <row r="900" ht="15" customHeight="1" hidden="1">
      <c r="B900"/>
    </row>
    <row r="901" ht="15" customHeight="1" hidden="1">
      <c r="B901"/>
    </row>
    <row r="902" ht="15" customHeight="1" hidden="1">
      <c r="B902"/>
    </row>
    <row r="903" ht="15" customHeight="1" hidden="1">
      <c r="B903"/>
    </row>
    <row r="904" ht="15" customHeight="1" hidden="1">
      <c r="B904"/>
    </row>
    <row r="905" ht="15" customHeight="1" hidden="1">
      <c r="B905"/>
    </row>
    <row r="906" ht="15" customHeight="1" hidden="1">
      <c r="B906"/>
    </row>
    <row r="907" ht="15" customHeight="1" hidden="1">
      <c r="B907"/>
    </row>
    <row r="908" ht="15" customHeight="1" hidden="1">
      <c r="B908"/>
    </row>
    <row r="909" ht="15" customHeight="1" hidden="1">
      <c r="B909"/>
    </row>
    <row r="910" ht="15" customHeight="1" hidden="1">
      <c r="B910"/>
    </row>
    <row r="911" ht="15" customHeight="1" hidden="1">
      <c r="B911"/>
    </row>
    <row r="912" ht="15" customHeight="1" hidden="1">
      <c r="B912"/>
    </row>
    <row r="913" ht="15" customHeight="1" hidden="1">
      <c r="B913"/>
    </row>
    <row r="914" ht="15" customHeight="1" hidden="1">
      <c r="B914"/>
    </row>
    <row r="915" ht="15" customHeight="1" hidden="1">
      <c r="B915"/>
    </row>
    <row r="916" ht="15" customHeight="1" hidden="1">
      <c r="B916"/>
    </row>
    <row r="917" ht="15" customHeight="1" hidden="1">
      <c r="B917"/>
    </row>
    <row r="918" ht="15" customHeight="1" hidden="1">
      <c r="B918"/>
    </row>
    <row r="919" ht="15" customHeight="1" hidden="1">
      <c r="B919"/>
    </row>
    <row r="920" ht="15" customHeight="1" hidden="1">
      <c r="B920"/>
    </row>
    <row r="921" ht="15" customHeight="1" hidden="1">
      <c r="B921"/>
    </row>
    <row r="922" ht="15" customHeight="1" hidden="1">
      <c r="B922"/>
    </row>
    <row r="923" ht="15" customHeight="1" hidden="1">
      <c r="B923"/>
    </row>
    <row r="924" ht="15" customHeight="1" hidden="1"/>
    <row r="925" ht="15" customHeight="1" hidden="1"/>
    <row r="926" ht="15" customHeight="1" hidden="1"/>
    <row r="927" ht="15" customHeight="1" hidden="1"/>
    <row r="928" ht="15" customHeight="1" hidden="1"/>
    <row r="929" ht="15" customHeight="1" hidden="1"/>
    <row r="930" ht="15" customHeight="1" hidden="1"/>
    <row r="931" ht="15" customHeight="1" hidden="1"/>
    <row r="932" ht="15" customHeight="1" hidden="1"/>
    <row r="933" ht="15" customHeight="1" hidden="1"/>
    <row r="934" ht="15" customHeight="1" hidden="1"/>
    <row r="935" ht="15" customHeight="1" hidden="1"/>
    <row r="936" ht="15" customHeight="1" hidden="1"/>
    <row r="937" ht="15" customHeight="1" hidden="1"/>
    <row r="938" ht="15" customHeight="1" hidden="1"/>
    <row r="939" ht="15" customHeight="1" hidden="1"/>
    <row r="940" ht="15" customHeight="1" hidden="1"/>
    <row r="941" ht="15" customHeight="1" hidden="1"/>
    <row r="942" ht="15" customHeight="1" hidden="1"/>
    <row r="943" ht="15" customHeight="1" hidden="1"/>
    <row r="944" ht="15" customHeight="1" hidden="1"/>
    <row r="945" ht="15" customHeight="1" hidden="1"/>
    <row r="946" ht="15" customHeight="1" hidden="1"/>
    <row r="947" ht="15" customHeight="1" hidden="1"/>
    <row r="948" ht="15" customHeight="1" hidden="1"/>
    <row r="949" ht="15" customHeight="1" hidden="1"/>
    <row r="950" ht="15" customHeight="1" hidden="1"/>
    <row r="951" ht="15" customHeight="1" hidden="1"/>
    <row r="952" ht="15" customHeight="1" hidden="1"/>
    <row r="953" ht="15" customHeight="1" hidden="1"/>
    <row r="954" ht="15" customHeight="1" hidden="1"/>
    <row r="955" ht="15" customHeight="1" hidden="1"/>
    <row r="956" ht="15" customHeight="1" hidden="1"/>
    <row r="957" ht="15" customHeight="1" hidden="1"/>
    <row r="958" ht="15" customHeight="1" hidden="1"/>
    <row r="959" ht="15" customHeight="1" hidden="1"/>
    <row r="960" ht="15" customHeight="1" hidden="1"/>
    <row r="961" ht="15" customHeight="1" hidden="1"/>
    <row r="962" ht="15" customHeight="1" hidden="1"/>
    <row r="963" ht="15" customHeight="1" hidden="1"/>
    <row r="964" ht="15" customHeight="1" hidden="1"/>
    <row r="965" ht="15" customHeight="1" hidden="1"/>
    <row r="966" ht="15" customHeight="1" hidden="1"/>
    <row r="967" ht="15" customHeight="1" hidden="1"/>
    <row r="968" ht="15" customHeight="1" hidden="1"/>
    <row r="969" ht="15" customHeight="1" hidden="1"/>
    <row r="970" ht="15" customHeight="1" hidden="1"/>
    <row r="971" ht="15" customHeight="1" hidden="1"/>
    <row r="972" ht="15" customHeight="1" hidden="1"/>
    <row r="973" ht="15" customHeight="1" hidden="1"/>
    <row r="974" ht="15" customHeight="1" hidden="1"/>
    <row r="975" ht="15" customHeight="1" hidden="1"/>
    <row r="976" ht="15" customHeight="1" hidden="1"/>
    <row r="977" ht="15" customHeight="1" hidden="1"/>
    <row r="978" ht="15" customHeight="1" hidden="1"/>
    <row r="979" ht="15" customHeight="1" hidden="1"/>
    <row r="980" ht="15" customHeight="1" hidden="1"/>
    <row r="981" ht="15" customHeight="1" hidden="1"/>
    <row r="982" ht="15" customHeight="1" hidden="1"/>
    <row r="983" ht="15" customHeight="1" hidden="1"/>
    <row r="984" ht="15" customHeight="1" hidden="1"/>
    <row r="985" ht="15" customHeight="1" hidden="1"/>
    <row r="986" ht="15" customHeight="1" hidden="1"/>
    <row r="987" ht="15" customHeight="1" hidden="1"/>
    <row r="988" ht="15" customHeight="1" hidden="1"/>
    <row r="989" ht="15" customHeight="1" hidden="1"/>
    <row r="990" ht="15" customHeight="1" hidden="1"/>
    <row r="991" ht="15" customHeight="1" hidden="1"/>
    <row r="992" ht="15" customHeight="1" hidden="1"/>
    <row r="993" ht="15" customHeight="1" hidden="1"/>
    <row r="994" ht="15" customHeight="1" hidden="1"/>
    <row r="995" ht="15" customHeight="1" hidden="1"/>
    <row r="996" ht="15" customHeight="1" hidden="1"/>
    <row r="997" ht="15" customHeight="1" hidden="1"/>
    <row r="998" ht="15" customHeight="1" hidden="1"/>
    <row r="999" ht="15" customHeight="1" hidden="1"/>
    <row r="1000" ht="15" customHeight="1" hidden="1"/>
    <row r="1001" ht="15" customHeight="1" hidden="1"/>
    <row r="1002" ht="15" customHeight="1" hidden="1"/>
    <row r="1003" ht="15" customHeight="1" hidden="1"/>
    <row r="1004" ht="15" customHeight="1" hidden="1"/>
    <row r="1005" ht="15" customHeight="1" hidden="1"/>
    <row r="1006" ht="15" customHeight="1" hidden="1"/>
    <row r="1007" ht="15" customHeight="1" hidden="1"/>
    <row r="1008" ht="15" customHeight="1" hidden="1"/>
    <row r="1009" ht="15" customHeight="1" hidden="1"/>
    <row r="1010" ht="15" customHeight="1" hidden="1"/>
    <row r="1011" ht="15" customHeight="1" hidden="1"/>
    <row r="1012" ht="15" customHeight="1" hidden="1"/>
    <row r="1013" ht="15" customHeight="1" hidden="1"/>
    <row r="1014" ht="15" customHeight="1" hidden="1"/>
    <row r="1015" ht="15" customHeight="1" hidden="1"/>
    <row r="1016" ht="15" customHeight="1" hidden="1"/>
    <row r="1017" ht="15" customHeight="1" hidden="1"/>
    <row r="1018" ht="15" customHeight="1" hidden="1"/>
    <row r="1019" ht="15" customHeight="1" hidden="1"/>
    <row r="1020" ht="15" customHeight="1" hidden="1"/>
    <row r="1021" ht="15" customHeight="1" hidden="1"/>
    <row r="1022" ht="15" customHeight="1" hidden="1"/>
    <row r="1023" ht="15" customHeight="1" hidden="1"/>
    <row r="1024" ht="15" customHeight="1" hidden="1"/>
    <row r="1025" ht="15" customHeight="1" hidden="1"/>
    <row r="1026" ht="15" customHeight="1" hidden="1"/>
    <row r="1027" ht="15" customHeight="1" hidden="1"/>
    <row r="1028" ht="15" customHeight="1" hidden="1"/>
    <row r="1029" ht="15" customHeight="1" hidden="1"/>
    <row r="1030" ht="15" customHeight="1" hidden="1"/>
    <row r="1031" ht="15" customHeight="1" hidden="1"/>
    <row r="1032" ht="15" customHeight="1" hidden="1"/>
    <row r="1033" ht="15" customHeight="1" hidden="1"/>
    <row r="1034" ht="15" customHeight="1" hidden="1"/>
    <row r="1035" ht="15" customHeight="1" hidden="1"/>
    <row r="1036" ht="15" customHeight="1" hidden="1"/>
    <row r="1037" ht="15" customHeight="1" hidden="1"/>
    <row r="1038" ht="15" customHeight="1" hidden="1"/>
    <row r="1039" ht="15" customHeight="1" hidden="1"/>
    <row r="1040" ht="15" customHeight="1" hidden="1"/>
    <row r="1041" ht="15" customHeight="1" hidden="1"/>
    <row r="1042" ht="15" customHeight="1" hidden="1"/>
    <row r="1043" ht="15" customHeight="1" hidden="1"/>
    <row r="1044" ht="15" customHeight="1" hidden="1"/>
    <row r="1045" ht="15" customHeight="1" hidden="1"/>
    <row r="1046" ht="15" customHeight="1" hidden="1"/>
    <row r="1047" ht="15" customHeight="1" hidden="1"/>
    <row r="1048" ht="15" customHeight="1" hidden="1"/>
    <row r="1049" ht="15" customHeight="1" hidden="1"/>
    <row r="1050" ht="15" customHeight="1" hidden="1"/>
    <row r="1051" ht="15" customHeight="1" hidden="1"/>
    <row r="1052" ht="15" customHeight="1" hidden="1"/>
    <row r="1053" ht="15" customHeight="1" hidden="1"/>
    <row r="1054" ht="15" customHeight="1" hidden="1"/>
    <row r="1055" ht="15" customHeight="1" hidden="1"/>
    <row r="1056" ht="15" customHeight="1" hidden="1"/>
    <row r="1057" ht="15" customHeight="1" hidden="1"/>
    <row r="1058" ht="15" customHeight="1" hidden="1"/>
    <row r="1059" ht="15" customHeight="1" hidden="1"/>
    <row r="1060" ht="15" customHeight="1" hidden="1"/>
    <row r="1061" ht="15" customHeight="1" hidden="1"/>
    <row r="1062" ht="15" customHeight="1" hidden="1"/>
    <row r="1063" ht="15" customHeight="1" hidden="1"/>
    <row r="1064" ht="15" customHeight="1" hidden="1"/>
    <row r="1065" ht="15" customHeight="1" hidden="1"/>
    <row r="1066" ht="15" customHeight="1" hidden="1"/>
    <row r="1067" ht="15" customHeight="1" hidden="1"/>
    <row r="1068" ht="15" customHeight="1" hidden="1"/>
    <row r="1069" ht="15" customHeight="1" hidden="1"/>
    <row r="1070" ht="15" customHeight="1" hidden="1"/>
    <row r="1071" ht="15" customHeight="1" hidden="1"/>
    <row r="1072" ht="15" customHeight="1" hidden="1"/>
    <row r="1073" ht="15" customHeight="1" hidden="1"/>
    <row r="1074" ht="15" customHeight="1" hidden="1"/>
    <row r="1075" ht="15" customHeight="1" hidden="1"/>
    <row r="1076" ht="15" customHeight="1" hidden="1"/>
    <row r="1077" ht="15" customHeight="1" hidden="1"/>
    <row r="1078" ht="15" customHeight="1" hidden="1"/>
    <row r="1079" ht="15" customHeight="1" hidden="1"/>
    <row r="1080" ht="15" customHeight="1" hidden="1"/>
    <row r="1081" ht="15" customHeight="1" hidden="1"/>
    <row r="1082" ht="15" customHeight="1" hidden="1"/>
    <row r="1083" ht="15" customHeight="1" hidden="1"/>
    <row r="1084" ht="15" customHeight="1" hidden="1"/>
    <row r="1085" ht="15" customHeight="1" hidden="1"/>
    <row r="1086" ht="15" customHeight="1" hidden="1"/>
    <row r="1087" ht="15" customHeight="1" hidden="1"/>
    <row r="1088" ht="15" customHeight="1" hidden="1"/>
    <row r="1089" ht="15" customHeight="1" hidden="1"/>
    <row r="1090" ht="15" customHeight="1" hidden="1"/>
    <row r="1091" ht="15" customHeight="1" hidden="1"/>
    <row r="1092" ht="15" customHeight="1" hidden="1"/>
    <row r="1093" ht="15" customHeight="1" hidden="1"/>
    <row r="1094" ht="15" customHeight="1" hidden="1"/>
    <row r="1095" ht="15" customHeight="1" hidden="1"/>
    <row r="1096" ht="15" customHeight="1" hidden="1"/>
    <row r="1097" ht="15" customHeight="1" hidden="1"/>
    <row r="1098" ht="15" customHeight="1" hidden="1"/>
    <row r="1099" ht="15" customHeight="1" hidden="1"/>
    <row r="1100" ht="15" customHeight="1" hidden="1"/>
    <row r="1101" ht="15" customHeight="1" hidden="1"/>
    <row r="1102" ht="15" customHeight="1" hidden="1"/>
    <row r="1103" ht="15" customHeight="1" hidden="1"/>
    <row r="1104" ht="15" customHeight="1" hidden="1"/>
    <row r="1105" ht="15" customHeight="1" hidden="1"/>
    <row r="1106" ht="15" customHeight="1" hidden="1"/>
    <row r="1107" ht="15" customHeight="1" hidden="1"/>
    <row r="1108" ht="15" customHeight="1" hidden="1"/>
    <row r="1109" ht="15" customHeight="1" hidden="1"/>
    <row r="1110" ht="15" customHeight="1" hidden="1"/>
    <row r="1111" ht="15" customHeight="1" hidden="1"/>
    <row r="1112" ht="15" customHeight="1" hidden="1"/>
    <row r="1113" ht="15" customHeight="1" hidden="1"/>
    <row r="1114" ht="15" customHeight="1" hidden="1"/>
    <row r="1115" ht="15" customHeight="1" hidden="1"/>
    <row r="1116" ht="15" customHeight="1" hidden="1"/>
    <row r="1117" ht="15" customHeight="1" hidden="1"/>
    <row r="1118" ht="15" customHeight="1" hidden="1"/>
    <row r="1119" ht="15" customHeight="1" hidden="1"/>
    <row r="1120" ht="15" customHeight="1" hidden="1"/>
    <row r="1121" ht="15" customHeight="1" hidden="1"/>
    <row r="1122" ht="15" customHeight="1" hidden="1"/>
    <row r="1123" ht="15" customHeight="1" hidden="1"/>
    <row r="1124" ht="15" customHeight="1" hidden="1"/>
    <row r="1125" ht="15" customHeight="1" hidden="1"/>
    <row r="1126" ht="15" customHeight="1" hidden="1"/>
    <row r="1127" ht="15" customHeight="1" hidden="1"/>
    <row r="1128" ht="15" customHeight="1" hidden="1"/>
    <row r="1129" ht="15" customHeight="1" hidden="1"/>
    <row r="1130" ht="15" customHeight="1" hidden="1"/>
    <row r="1131" ht="15" customHeight="1" hidden="1"/>
    <row r="1132" ht="15" customHeight="1" hidden="1"/>
    <row r="1133" ht="15" customHeight="1" hidden="1"/>
    <row r="1134" ht="15" customHeight="1" hidden="1"/>
    <row r="1135" ht="15" customHeight="1" hidden="1"/>
    <row r="1136" ht="15" customHeight="1" hidden="1"/>
    <row r="1137" ht="15" customHeight="1" hidden="1"/>
    <row r="1138" ht="15" customHeight="1" hidden="1"/>
    <row r="1139" ht="15" customHeight="1" hidden="1"/>
    <row r="1140" ht="15" customHeight="1" hidden="1"/>
    <row r="1141" ht="15" customHeight="1" hidden="1"/>
    <row r="1142" ht="15" customHeight="1" hidden="1"/>
    <row r="1143" ht="15" customHeight="1" hidden="1"/>
    <row r="1144" ht="15" customHeight="1" hidden="1"/>
    <row r="1145" ht="15" customHeight="1" hidden="1"/>
    <row r="1146" ht="15" customHeight="1" hidden="1"/>
    <row r="1147" ht="15" customHeight="1" hidden="1"/>
    <row r="1148" ht="15" customHeight="1" hidden="1"/>
    <row r="1149" ht="15" customHeight="1" hidden="1"/>
    <row r="1150" ht="15" customHeight="1" hidden="1"/>
    <row r="1151" ht="15" customHeight="1" hidden="1"/>
    <row r="1152" ht="15" customHeight="1" hidden="1"/>
    <row r="1153" ht="15" customHeight="1" hidden="1"/>
    <row r="1154" ht="15" customHeight="1" hidden="1"/>
    <row r="1155" ht="15" customHeight="1" hidden="1"/>
    <row r="1156" ht="15" customHeight="1" hidden="1"/>
    <row r="1157" ht="15" customHeight="1" hidden="1"/>
    <row r="1158" ht="15" customHeight="1" hidden="1"/>
    <row r="1159" ht="15" customHeight="1" hidden="1"/>
    <row r="1160" ht="15" customHeight="1" hidden="1"/>
    <row r="1161" ht="15" customHeight="1" hidden="1"/>
    <row r="1162" ht="15" customHeight="1" hidden="1"/>
    <row r="1163" ht="15" customHeight="1" hidden="1"/>
    <row r="1164" ht="15" customHeight="1" hidden="1"/>
    <row r="1165" ht="15" customHeight="1" hidden="1"/>
    <row r="1166" ht="15" customHeight="1" hidden="1"/>
    <row r="1167" ht="15" customHeight="1" hidden="1"/>
    <row r="1168" ht="15" customHeight="1" hidden="1"/>
    <row r="1169" ht="15" customHeight="1" hidden="1"/>
    <row r="1170" ht="15" customHeight="1" hidden="1"/>
    <row r="1171" ht="15" customHeight="1" hidden="1"/>
    <row r="1172" ht="15" customHeight="1" hidden="1"/>
    <row r="1173" ht="15" customHeight="1" hidden="1"/>
    <row r="1174" ht="15" customHeight="1" hidden="1"/>
    <row r="1175" ht="15" customHeight="1" hidden="1"/>
    <row r="1176" ht="15" customHeight="1" hidden="1"/>
    <row r="1177" ht="15" customHeight="1" hidden="1"/>
  </sheetData>
  <sheetProtection sheet="1" objects="1" scenarios="1" selectLockedCells="1" selectUnlockedCells="1"/>
  <mergeCells count="4">
    <mergeCell ref="M1:O1"/>
    <mergeCell ref="C862:H862"/>
    <mergeCell ref="I867:J867"/>
    <mergeCell ref="E859:G859"/>
  </mergeCells>
  <conditionalFormatting sqref="A558:L559 A561:L568 B808:H808 B804:H804 A804:A806 A808:A810 A504:L555 A859:L860 A811:L811 A570:L803 A807:L807 A484:C503 E484:L503 A3:L3 A5:L5 A7:L296 A305:L317 A324:L327 A330:L331 A299:L302 A320:E321 F321 G320:L321 A333:L483">
    <cfRule type="expression" priority="3" dxfId="41" stopIfTrue="1">
      <formula>$N3&lt;&gt;"x"</formula>
    </cfRule>
  </conditionalFormatting>
  <conditionalFormatting sqref="E865:F865">
    <cfRule type="expression" priority="4" dxfId="164" stopIfTrue="1">
      <formula>#REF!&lt;&gt;""</formula>
    </cfRule>
    <cfRule type="cellIs" priority="5" dxfId="1" operator="equal" stopIfTrue="1">
      <formula>"w"</formula>
    </cfRule>
  </conditionalFormatting>
  <conditionalFormatting sqref="E866:F866">
    <cfRule type="expression" priority="6" dxfId="164" stopIfTrue="1">
      <formula>#REF!&lt;&gt;""</formula>
    </cfRule>
    <cfRule type="cellIs" priority="7" dxfId="1" operator="equal" stopIfTrue="1">
      <formula>"x"</formula>
    </cfRule>
  </conditionalFormatting>
  <conditionalFormatting sqref="E867:F867">
    <cfRule type="expression" priority="8" dxfId="164" stopIfTrue="1">
      <formula>#REF!&lt;&gt;""</formula>
    </cfRule>
    <cfRule type="cellIs" priority="9" dxfId="1" operator="equal" stopIfTrue="1">
      <formula>"y"</formula>
    </cfRule>
  </conditionalFormatting>
  <conditionalFormatting sqref="E863:F863">
    <cfRule type="expression" priority="10" dxfId="164" stopIfTrue="1">
      <formula>$A$2&lt;&gt;""</formula>
    </cfRule>
    <cfRule type="cellIs" priority="11" dxfId="1" operator="equal" stopIfTrue="1">
      <formula>"u"</formula>
    </cfRule>
  </conditionalFormatting>
  <conditionalFormatting sqref="E864:F864">
    <cfRule type="expression" priority="12" dxfId="164" stopIfTrue="1">
      <formula>$A$2&lt;&gt;""</formula>
    </cfRule>
    <cfRule type="cellIs" priority="13" dxfId="1" operator="equal" stopIfTrue="1">
      <formula>"v"</formula>
    </cfRule>
  </conditionalFormatting>
  <conditionalFormatting sqref="B863:B867">
    <cfRule type="expression" priority="14" dxfId="41" stopIfTrue="1">
      <formula>$A$2&lt;&gt;""</formula>
    </cfRule>
    <cfRule type="expression" priority="15" dxfId="41" stopIfTrue="1">
      <formula>$L$1&lt;&gt;"x"</formula>
    </cfRule>
  </conditionalFormatting>
  <conditionalFormatting sqref="C863:C867 A868:L868 A862:L862">
    <cfRule type="expression" priority="16" dxfId="41" stopIfTrue="1">
      <formula>$L$1&lt;&gt;"x"</formula>
    </cfRule>
  </conditionalFormatting>
  <conditionalFormatting sqref="D863">
    <cfRule type="expression" priority="17" dxfId="164" stopIfTrue="1">
      <formula>$A$2&lt;&gt;""</formula>
    </cfRule>
    <cfRule type="cellIs" priority="18" dxfId="1" operator="equal" stopIfTrue="1">
      <formula>"u"</formula>
    </cfRule>
    <cfRule type="expression" priority="19" dxfId="7" stopIfTrue="1">
      <formula>$L$1&lt;&gt;"x"</formula>
    </cfRule>
  </conditionalFormatting>
  <conditionalFormatting sqref="D864">
    <cfRule type="expression" priority="20" dxfId="164" stopIfTrue="1">
      <formula>$A$2&lt;&gt;""</formula>
    </cfRule>
    <cfRule type="cellIs" priority="21" dxfId="1" operator="equal" stopIfTrue="1">
      <formula>"v"</formula>
    </cfRule>
    <cfRule type="expression" priority="22" dxfId="7" stopIfTrue="1">
      <formula>$L$1&lt;&gt;"x"</formula>
    </cfRule>
  </conditionalFormatting>
  <conditionalFormatting sqref="D865">
    <cfRule type="expression" priority="23" dxfId="164" stopIfTrue="1">
      <formula>$A$2&lt;&gt;""</formula>
    </cfRule>
    <cfRule type="cellIs" priority="24" dxfId="1" operator="equal" stopIfTrue="1">
      <formula>"w"</formula>
    </cfRule>
    <cfRule type="expression" priority="25" dxfId="7" stopIfTrue="1">
      <formula>$L$1&lt;&gt;"x"</formula>
    </cfRule>
  </conditionalFormatting>
  <conditionalFormatting sqref="D866">
    <cfRule type="expression" priority="26" dxfId="164" stopIfTrue="1">
      <formula>$A$2&lt;&gt;""</formula>
    </cfRule>
    <cfRule type="cellIs" priority="27" dxfId="1" operator="equal" stopIfTrue="1">
      <formula>"x"</formula>
    </cfRule>
    <cfRule type="expression" priority="28" dxfId="7" stopIfTrue="1">
      <formula>$L$1&lt;&gt;"x"</formula>
    </cfRule>
  </conditionalFormatting>
  <conditionalFormatting sqref="D867">
    <cfRule type="expression" priority="29" dxfId="164" stopIfTrue="1">
      <formula>$A$2&lt;&gt;""</formula>
    </cfRule>
    <cfRule type="cellIs" priority="30" dxfId="1" operator="equal" stopIfTrue="1">
      <formula>"y"</formula>
    </cfRule>
    <cfRule type="expression" priority="31" dxfId="7" stopIfTrue="1">
      <formula>$L$1&lt;&gt;"x"</formula>
    </cfRule>
  </conditionalFormatting>
  <conditionalFormatting sqref="D484:D503">
    <cfRule type="expression" priority="32" dxfId="41" stopIfTrue="1">
      <formula>$N461&lt;&gt;"x"</formula>
    </cfRule>
  </conditionalFormatting>
  <conditionalFormatting sqref="B805:H806 I804:L806">
    <cfRule type="expression" priority="33" dxfId="41" stopIfTrue="1">
      <formula>$N$804&lt;&gt;"x"</formula>
    </cfRule>
  </conditionalFormatting>
  <conditionalFormatting sqref="B809:H810 I808:L810">
    <cfRule type="expression" priority="34" dxfId="41" stopIfTrue="1">
      <formula>$N$808&lt;&gt;"x"</formula>
    </cfRule>
  </conditionalFormatting>
  <conditionalFormatting sqref="A812:L830 A835:L840 J831:L833 A831:H831 D832:H833 D834:L834 A832:C834 A844:L858 A841:H843 J841:L843">
    <cfRule type="expression" priority="35" dxfId="164" stopIfTrue="1">
      <formula>$N812=""</formula>
    </cfRule>
  </conditionalFormatting>
  <conditionalFormatting sqref="I831:I833">
    <cfRule type="expression" priority="2" dxfId="41" stopIfTrue="1">
      <formula>$N831&lt;&gt;"x"</formula>
    </cfRule>
  </conditionalFormatting>
  <conditionalFormatting sqref="I841:I843">
    <cfRule type="expression" priority="1" dxfId="41" stopIfTrue="1">
      <formula>$N841&lt;&gt;"x"</formula>
    </cfRule>
  </conditionalFormatting>
  <dataValidations count="2">
    <dataValidation type="list" allowBlank="1" showInputMessage="1" showErrorMessage="1" sqref="L1">
      <formula1>$P$1:$Q$1</formula1>
    </dataValidation>
    <dataValidation type="list" allowBlank="1" showInputMessage="1" showErrorMessage="1" sqref="B2">
      <formula1>$B$871:$B$923</formula1>
    </dataValidation>
  </dataValidations>
  <printOptions/>
  <pageMargins left="0.7874015748031497" right="0.7874015748031497" top="0.7874015748031497" bottom="0.5905511811023623" header="0" footer="0"/>
  <pageSetup fitToHeight="17" horizontalDpi="300" verticalDpi="300" orientation="portrait" paperSize="9" scale="90" r:id="rId2"/>
  <headerFooter alignWithMargins="0">
    <oddFooter>&amp;L&amp;"Arial,Kursiv"&amp;8© Mag. Wolfgang Harasleben&amp;R&amp;"Arial,Kursiv"&amp;8Seite &amp;P/&amp;N</oddFooter>
  </headerFooter>
  <rowBreaks count="8" manualBreakCount="8">
    <brk id="132" max="11" man="1"/>
    <brk id="201" max="11" man="1"/>
    <brk id="286" max="11" man="1"/>
    <brk id="427" max="11" man="1"/>
    <brk id="493" max="11" man="1"/>
    <brk id="554" max="11" man="1"/>
    <brk id="769" max="11" man="1"/>
    <brk id="844" max="11" man="1"/>
  </rowBreaks>
  <drawing r:id="rId1"/>
</worksheet>
</file>

<file path=xl/worksheets/sheet10.xml><?xml version="1.0" encoding="utf-8"?>
<worksheet xmlns="http://schemas.openxmlformats.org/spreadsheetml/2006/main" xmlns:r="http://schemas.openxmlformats.org/officeDocument/2006/relationships">
  <sheetPr>
    <tabColor indexed="10"/>
  </sheetPr>
  <dimension ref="A1:L64"/>
  <sheetViews>
    <sheetView showGridLines="0" zoomScalePageLayoutView="0" workbookViewId="0" topLeftCell="A1">
      <pane ySplit="3" topLeftCell="A4" activePane="bottomLeft" state="frozen"/>
      <selection pane="topLeft" activeCell="E12" sqref="E12:M18"/>
      <selection pane="bottomLeft" activeCell="I10" sqref="I10"/>
    </sheetView>
  </sheetViews>
  <sheetFormatPr defaultColWidth="0" defaultRowHeight="12.75" zeroHeight="1"/>
  <cols>
    <col min="1" max="1" width="2.7109375" style="145" customWidth="1"/>
    <col min="2" max="2" width="3.7109375" style="145" customWidth="1"/>
    <col min="3" max="4" width="14.7109375" style="145" customWidth="1"/>
    <col min="5" max="9" width="9.7109375" style="145" customWidth="1"/>
    <col min="10" max="10" width="2.7109375" style="145" customWidth="1"/>
    <col min="11" max="11" width="0.85546875" style="178" customWidth="1"/>
    <col min="12" max="12" width="21.7109375" style="178" customWidth="1"/>
    <col min="13" max="16384" width="9.7109375" style="1" hidden="1" customWidth="1"/>
  </cols>
  <sheetData>
    <row r="1" spans="1:12" ht="24.75" customHeight="1">
      <c r="A1" s="1139"/>
      <c r="B1" s="406" t="s">
        <v>330</v>
      </c>
      <c r="C1" s="332"/>
      <c r="D1" s="407"/>
      <c r="E1" s="407"/>
      <c r="F1" s="407"/>
      <c r="G1" s="407"/>
      <c r="H1" s="407"/>
      <c r="I1" s="407"/>
      <c r="J1" s="407"/>
      <c r="K1" s="129"/>
      <c r="L1" s="1043" t="s">
        <v>100</v>
      </c>
    </row>
    <row r="2" spans="1:12" s="3" customFormat="1" ht="12" customHeight="1">
      <c r="A2" s="1139"/>
      <c r="B2" s="408" t="str">
        <f>IF('[2]WD.ILeist'!D12="","",'[2]WD.ILeist'!D12)</f>
        <v>Dauergrünland 1-schnittig</v>
      </c>
      <c r="C2" s="409"/>
      <c r="D2" s="410"/>
      <c r="E2" s="410"/>
      <c r="F2" s="410"/>
      <c r="G2" s="410"/>
      <c r="H2" s="410"/>
      <c r="I2" s="410"/>
      <c r="J2" s="410"/>
      <c r="K2" s="130"/>
      <c r="L2" s="1043"/>
    </row>
    <row r="3" spans="11:12" ht="39.75" customHeight="1">
      <c r="K3" s="130"/>
      <c r="L3" s="1043"/>
    </row>
    <row r="4" spans="2:12" ht="3" customHeight="1">
      <c r="B4" s="275"/>
      <c r="C4" s="275"/>
      <c r="D4" s="275"/>
      <c r="E4" s="275"/>
      <c r="F4" s="275"/>
      <c r="G4" s="275"/>
      <c r="H4" s="275"/>
      <c r="I4" s="275"/>
      <c r="K4" s="130"/>
      <c r="L4" s="133"/>
    </row>
    <row r="5" spans="1:12" ht="12.75" customHeight="1">
      <c r="A5" s="178"/>
      <c r="B5" s="411"/>
      <c r="C5" s="1160" t="str">
        <f>IF('[2]WD.ILeist'!D22="","",'[2]WD.ILeist'!D22)</f>
        <v>Festmist</v>
      </c>
      <c r="D5" s="412" t="s">
        <v>331</v>
      </c>
      <c r="E5" s="413"/>
      <c r="F5" s="414">
        <f>IF('[2]WD.ILeist'!X119="","",'[2]WD.ILeist'!X119)</f>
        <v>4</v>
      </c>
      <c r="G5" s="415" t="str">
        <f>IF('[2]WD.ILeist'!Y119="","",'[2]WD.ILeist'!Y119)</f>
        <v> t</v>
      </c>
      <c r="H5" s="416">
        <f>IF(G5&lt;&gt;" t",F5/1000,F5*10)</f>
        <v>40</v>
      </c>
      <c r="I5" s="415" t="str">
        <f>IF(G5=" t"," dt"," m³")</f>
        <v> dt</v>
      </c>
      <c r="J5" s="178"/>
      <c r="K5" s="130"/>
      <c r="L5" s="133"/>
    </row>
    <row r="6" spans="1:12" ht="12.75" customHeight="1">
      <c r="A6" s="178"/>
      <c r="B6" s="411"/>
      <c r="C6" s="1161"/>
      <c r="D6" s="412" t="str">
        <f>"Zeitbedarf pro "&amp;IF(C5="Festmist","Fuhre","Fass")</f>
        <v>Zeitbedarf pro Fuhre</v>
      </c>
      <c r="E6" s="417"/>
      <c r="F6" s="417"/>
      <c r="G6" s="418"/>
      <c r="H6" s="419">
        <f>SUM(E10,E13,E16)</f>
        <v>74</v>
      </c>
      <c r="I6" s="415" t="s">
        <v>332</v>
      </c>
      <c r="J6" s="178"/>
      <c r="K6" s="130"/>
      <c r="L6" s="133"/>
    </row>
    <row r="7" spans="1:12" ht="15" customHeight="1">
      <c r="A7" s="420"/>
      <c r="B7" s="288"/>
      <c r="C7" s="288"/>
      <c r="D7" s="276"/>
      <c r="E7" s="1162" t="str">
        <f>"Zeit/"&amp;IF(C5="Festmist","Fuhre","Fass")</f>
        <v>Zeit/Fuhre</v>
      </c>
      <c r="F7" s="1162"/>
      <c r="G7" s="421" t="str">
        <f>"Zeit/"&amp;IF(C5="Festmist",100&amp;" dt",10&amp;" m³")</f>
        <v>Zeit/100 dt</v>
      </c>
      <c r="H7" s="421" t="s">
        <v>60</v>
      </c>
      <c r="I7" s="421"/>
      <c r="J7" s="420"/>
      <c r="K7" s="130"/>
      <c r="L7" s="133"/>
    </row>
    <row r="8" spans="1:12" ht="9.75" customHeight="1">
      <c r="A8" s="178"/>
      <c r="B8" s="182"/>
      <c r="C8" s="182"/>
      <c r="D8" s="182" t="s">
        <v>333</v>
      </c>
      <c r="E8" s="182" t="s">
        <v>334</v>
      </c>
      <c r="F8" s="182" t="s">
        <v>335</v>
      </c>
      <c r="G8" s="348" t="s">
        <v>335</v>
      </c>
      <c r="H8" s="182" t="s">
        <v>336</v>
      </c>
      <c r="I8" s="182" t="s">
        <v>337</v>
      </c>
      <c r="J8" s="178"/>
      <c r="K8" s="130"/>
      <c r="L8" s="133"/>
    </row>
    <row r="9" spans="1:12" ht="12.75" customHeight="1" thickBot="1">
      <c r="A9" s="178"/>
      <c r="B9" s="422" t="s">
        <v>338</v>
      </c>
      <c r="C9" s="422"/>
      <c r="D9" s="423"/>
      <c r="E9" s="991"/>
      <c r="F9" s="191"/>
      <c r="G9" s="191"/>
      <c r="H9" s="992"/>
      <c r="I9" s="719"/>
      <c r="J9" s="178"/>
      <c r="K9" s="130"/>
      <c r="L9" s="133"/>
    </row>
    <row r="10" spans="1:12" ht="12.75" customHeight="1" thickBot="1">
      <c r="A10" s="178"/>
      <c r="B10" s="424">
        <v>1</v>
      </c>
      <c r="C10" s="183" t="str">
        <f>IF('[2]WD.ILeist'!$AB$101&lt;$B10,"",VLOOKUP("L1",Matrix1,4,0))</f>
        <v>Standardtraktor</v>
      </c>
      <c r="D10" s="392" t="str">
        <f>IF('[2]WD.ILeist'!$AB$101&lt;$B10,"",VLOOKUP("L1",Matrix1,6,0))</f>
        <v>45 KW</v>
      </c>
      <c r="E10" s="718">
        <f>IF('[2]WD.ILeist'!R41="","",'[2]WD.ILeist'!R41)</f>
        <v>8</v>
      </c>
      <c r="F10" s="190">
        <f>E10/60</f>
        <v>0.13333333333333333</v>
      </c>
      <c r="G10" s="190">
        <f>F10/$H$5*100</f>
        <v>0.3333333333333333</v>
      </c>
      <c r="H10" s="425">
        <f>IF('[2]WD.ILeist'!$AB$101&lt;$B10,"",VLOOKUP("L1",Matrix1,7,0))</f>
        <v>7.34</v>
      </c>
      <c r="I10" s="370"/>
      <c r="J10" s="178"/>
      <c r="K10" s="130"/>
      <c r="L10" s="133"/>
    </row>
    <row r="11" spans="1:12" ht="12.75" customHeight="1" thickBot="1">
      <c r="A11" s="178"/>
      <c r="B11" s="424">
        <v>2</v>
      </c>
      <c r="C11" s="183" t="str">
        <f>IF('[2]WD.ILeist'!$AB$101&lt;$B11,"",VLOOKUP("L2",Matrix1,4,0))</f>
        <v>Frontlader</v>
      </c>
      <c r="D11" s="392" t="str">
        <f>IF('[2]WD.ILeist'!$AB$101&lt;$B11,"",VLOOKUP("L2",Matrix1,6,0))</f>
        <v>1 m</v>
      </c>
      <c r="E11" s="718">
        <f>IF(C11="","",E10)</f>
        <v>8</v>
      </c>
      <c r="F11" s="190">
        <f>E11/60</f>
        <v>0.13333333333333333</v>
      </c>
      <c r="G11" s="190">
        <f>F11/$H$5*100</f>
        <v>0.3333333333333333</v>
      </c>
      <c r="H11" s="425">
        <f>IF('[2]WD.ILeist'!$AB$101&lt;$B11,"",VLOOKUP("L2",Matrix1,7,0))</f>
        <v>0.48</v>
      </c>
      <c r="I11" s="370"/>
      <c r="J11" s="178"/>
      <c r="K11" s="130"/>
      <c r="L11" s="133"/>
    </row>
    <row r="12" spans="1:12" ht="12.75" customHeight="1" thickBot="1">
      <c r="A12" s="178"/>
      <c r="B12" s="422" t="s">
        <v>339</v>
      </c>
      <c r="C12" s="422"/>
      <c r="D12" s="426"/>
      <c r="E12" s="993"/>
      <c r="F12" s="994"/>
      <c r="G12" s="994"/>
      <c r="H12" s="995"/>
      <c r="I12" s="995"/>
      <c r="J12" s="178"/>
      <c r="K12" s="130"/>
      <c r="L12" s="133"/>
    </row>
    <row r="13" spans="1:12" ht="12.75" customHeight="1" thickBot="1">
      <c r="A13" s="178"/>
      <c r="B13" s="424">
        <v>1</v>
      </c>
      <c r="C13" s="183" t="str">
        <f>IF('[2]WD.ILeist'!$AB$109&lt;$B13,"",VLOOKUP("T1",Matrix1,4,0))</f>
        <v>Standardtraktor</v>
      </c>
      <c r="D13" s="392" t="str">
        <f>IF('[2]WD.ILeist'!$AB$109&lt;$B13,"",VLOOKUP("T1",Matrix1,6,0))</f>
        <v>45 KW</v>
      </c>
      <c r="E13" s="718">
        <f>IF('[2]WD.ILeist'!R43="","",'[2]WD.ILeist'!R43)</f>
        <v>50</v>
      </c>
      <c r="F13" s="448">
        <f>E13/60</f>
        <v>0.8333333333333334</v>
      </c>
      <c r="G13" s="448">
        <f>F13/$H$5*100</f>
        <v>2.0833333333333335</v>
      </c>
      <c r="H13" s="425">
        <f>IF('[2]WD.ILeist'!$AB$109&lt;$B13,"",VLOOKUP("T1",Matrix1,7,0))</f>
        <v>7.34</v>
      </c>
      <c r="I13" s="370"/>
      <c r="J13" s="178"/>
      <c r="K13" s="130"/>
      <c r="L13" s="133"/>
    </row>
    <row r="14" spans="1:12" ht="12.75" customHeight="1" thickBot="1">
      <c r="A14" s="178"/>
      <c r="B14" s="424">
        <v>2</v>
      </c>
      <c r="C14" s="183" t="str">
        <f>IF('[2]WD.ILeist'!$AB$109&lt;$B14,"",VLOOKUP("T2",Matrix1,4,0))</f>
        <v>Miststreuer</v>
      </c>
      <c r="D14" s="427" t="str">
        <f>IF('[2]WD.ILeist'!$AB$109&lt;$B14,"",VLOOKUP("T2",Matrix1,6,0))</f>
        <v>4 t</v>
      </c>
      <c r="E14" s="380">
        <f>IF(C14="","",E13)</f>
        <v>50</v>
      </c>
      <c r="F14" s="190">
        <f>E14/60</f>
        <v>0.8333333333333334</v>
      </c>
      <c r="G14" s="190">
        <f>F14/$H$5*100</f>
        <v>2.0833333333333335</v>
      </c>
      <c r="H14" s="425">
        <f>IF('[2]WD.ILeist'!$AB$109&lt;$B14,"",VLOOKUP("T2",Matrix1,7,0))</f>
        <v>2.14</v>
      </c>
      <c r="I14" s="370"/>
      <c r="J14" s="178"/>
      <c r="K14" s="130"/>
      <c r="L14" s="133"/>
    </row>
    <row r="15" spans="1:12" ht="12.75" customHeight="1" thickBot="1">
      <c r="A15" s="178"/>
      <c r="B15" s="422" t="s">
        <v>340</v>
      </c>
      <c r="C15" s="422"/>
      <c r="D15" s="426"/>
      <c r="E15" s="993"/>
      <c r="F15" s="996"/>
      <c r="G15" s="996"/>
      <c r="H15" s="995"/>
      <c r="I15" s="997"/>
      <c r="J15" s="178"/>
      <c r="K15" s="130"/>
      <c r="L15" s="133"/>
    </row>
    <row r="16" spans="1:12" ht="12.75" customHeight="1" thickBot="1">
      <c r="A16" s="178"/>
      <c r="B16" s="424">
        <v>1</v>
      </c>
      <c r="C16" s="183" t="str">
        <f>IF('[2]WD.ILeist'!$AB$117&lt;$B16,"",VLOOKUP("A1",Matrix1,4,0))</f>
        <v>Standardtraktor</v>
      </c>
      <c r="D16" s="392" t="str">
        <f>IF('[2]WD.ILeist'!$AB$117&lt;$B16,"",VLOOKUP("A1",Matrix1,6,0))</f>
        <v>45 KW</v>
      </c>
      <c r="E16" s="718">
        <f>IF('[2]WD.ILeist'!R45="","",'[2]WD.ILeist'!R45)</f>
        <v>16</v>
      </c>
      <c r="F16" s="190">
        <f>E16/60</f>
        <v>0.26666666666666666</v>
      </c>
      <c r="G16" s="190">
        <f>F16/$H$5*100</f>
        <v>0.6666666666666666</v>
      </c>
      <c r="H16" s="425">
        <f>IF('[2]WD.ILeist'!$AB$117&lt;$B16,"",VLOOKUP("A1",Matrix1,7,0))</f>
        <v>7.34</v>
      </c>
      <c r="I16" s="370"/>
      <c r="J16" s="178"/>
      <c r="K16" s="130"/>
      <c r="L16" s="133"/>
    </row>
    <row r="17" spans="1:12" ht="12.75" customHeight="1" thickBot="1">
      <c r="A17" s="178"/>
      <c r="B17" s="424">
        <v>2</v>
      </c>
      <c r="C17" s="183" t="str">
        <f>IF('[2]WD.ILeist'!$AB$117&lt;$B17,"",VLOOKUP("A2",Matrix1,4,0))</f>
        <v>Miststreuer</v>
      </c>
      <c r="D17" s="427" t="str">
        <f>IF('[2]WD.ILeist'!$AB$117&lt;$B17,"",VLOOKUP("A2",Matrix1,6,0))</f>
        <v>4 t</v>
      </c>
      <c r="E17" s="718">
        <f>IF(C17="","",E16)</f>
        <v>16</v>
      </c>
      <c r="F17" s="190">
        <f>E17/60</f>
        <v>0.26666666666666666</v>
      </c>
      <c r="G17" s="190">
        <f>F17/$H$5*100</f>
        <v>0.6666666666666666</v>
      </c>
      <c r="H17" s="425">
        <f>IF('[2]WD.ILeist'!$AB$117&lt;$B17,"",VLOOKUP("A2",Matrix1,7,0))</f>
        <v>2.14</v>
      </c>
      <c r="I17" s="370"/>
      <c r="J17" s="178"/>
      <c r="K17" s="130"/>
      <c r="L17" s="133"/>
    </row>
    <row r="18" spans="1:12" ht="12.75" customHeight="1" thickBot="1">
      <c r="A18" s="178"/>
      <c r="B18" s="200" t="str">
        <f>"Summe variable Maschinenkosten - "&amp;'WD.1Dgl'!C5</f>
        <v>Summe variable Maschinenkosten - Festmist</v>
      </c>
      <c r="C18" s="200"/>
      <c r="D18" s="200"/>
      <c r="E18" s="200"/>
      <c r="F18" s="200"/>
      <c r="G18" s="428"/>
      <c r="H18" s="429"/>
      <c r="I18" s="430"/>
      <c r="J18" s="178"/>
      <c r="K18" s="130"/>
      <c r="L18" s="133"/>
    </row>
    <row r="19" spans="1:12" ht="12.75" customHeight="1" thickBot="1">
      <c r="A19" s="178"/>
      <c r="B19" s="197" t="s">
        <v>341</v>
      </c>
      <c r="C19" s="197"/>
      <c r="D19" s="183"/>
      <c r="E19" s="183"/>
      <c r="F19" s="183"/>
      <c r="G19" s="431"/>
      <c r="H19" s="351">
        <f>IF('[2]WD.ILeist'!D24="","",'[2]WD.ILeist'!D24)</f>
        <v>0.2</v>
      </c>
      <c r="I19" s="809"/>
      <c r="J19" s="178"/>
      <c r="K19" s="130"/>
      <c r="L19" s="133"/>
    </row>
    <row r="20" spans="1:12" ht="12.75" customHeight="1">
      <c r="A20" s="178"/>
      <c r="B20" s="183"/>
      <c r="C20" s="183"/>
      <c r="D20" s="183"/>
      <c r="E20" s="183"/>
      <c r="F20" s="183"/>
      <c r="G20" s="397" t="s">
        <v>342</v>
      </c>
      <c r="H20" s="901">
        <f>IF('[2]WD.ILeist'!S47="","",'[2]WD.ILeist'!S47)</f>
        <v>0.1</v>
      </c>
      <c r="I20" s="904" t="str">
        <f>IF(OR(I19="",H20=""),"noch leer",I19*H20)</f>
        <v>noch leer</v>
      </c>
      <c r="J20" s="178"/>
      <c r="K20" s="130"/>
      <c r="L20" s="133"/>
    </row>
    <row r="21" spans="1:12" ht="12.75" customHeight="1">
      <c r="A21" s="178"/>
      <c r="B21" s="432" t="str">
        <f>"GESAMTE MASCHINENKOSTEN je "&amp;IF(C5="Festmist",100&amp;" dt",10&amp;" m³")</f>
        <v>GESAMTE MASCHINENKOSTEN je 100 dt</v>
      </c>
      <c r="C21" s="433"/>
      <c r="D21" s="433"/>
      <c r="E21" s="433"/>
      <c r="F21" s="433"/>
      <c r="G21" s="433"/>
      <c r="H21" s="433"/>
      <c r="I21" s="902" t="str">
        <f>IF(OR(I19="",I20="noch leer"),"noch leer",SUM(I19:I20))</f>
        <v>noch leer</v>
      </c>
      <c r="J21" s="178"/>
      <c r="K21" s="130"/>
      <c r="L21" s="133"/>
    </row>
    <row r="22" spans="1:12" ht="6" customHeight="1">
      <c r="A22" s="178"/>
      <c r="B22" s="178"/>
      <c r="C22" s="178"/>
      <c r="D22" s="178"/>
      <c r="E22" s="178"/>
      <c r="F22" s="178"/>
      <c r="G22" s="178"/>
      <c r="H22" s="178"/>
      <c r="I22" s="435"/>
      <c r="J22" s="178"/>
      <c r="K22" s="140"/>
      <c r="L22" s="133"/>
    </row>
    <row r="23" spans="1:12" ht="12.75" customHeight="1">
      <c r="A23" s="178"/>
      <c r="B23" s="436" t="s">
        <v>343</v>
      </c>
      <c r="C23" s="436"/>
      <c r="D23" s="436"/>
      <c r="E23" s="436"/>
      <c r="F23" s="436"/>
      <c r="G23" s="1152" t="s">
        <v>344</v>
      </c>
      <c r="H23" s="1152"/>
      <c r="I23" s="182" t="s">
        <v>345</v>
      </c>
      <c r="J23" s="178"/>
      <c r="K23" s="130"/>
      <c r="L23" s="133"/>
    </row>
    <row r="24" spans="1:12" ht="12.75" customHeight="1">
      <c r="A24" s="178"/>
      <c r="B24" s="437">
        <f>IF('[2]WD.ILeist'!S49="","",'[2]WD.ILeist'!S49)</f>
        <v>100</v>
      </c>
      <c r="C24" s="438" t="str">
        <f>IF('[2]WD.ILeist'!F49="","",'[2]WD.ILeist'!I49)</f>
        <v>dt</v>
      </c>
      <c r="D24" s="439" t="str">
        <f>IF('[2]WD.ILeist'!D22="Festmist",'[2]WD.ILeist'!D16&amp;" kg Stickstoff/t",'[2]WD.ILeist'!D16&amp;" kg Stickstoff/m³")</f>
        <v>3,5 kg Stickstoff/t</v>
      </c>
      <c r="E24" s="1153">
        <f>IF('[2]WD.ILeist'!D22="Festmist",'[2]WD.ILeist'!D16*'[2]WD.ILeist'!F49/10,'[2]WD.ILeist'!D16*'[2]WD.ILeist'!F49)</f>
        <v>35</v>
      </c>
      <c r="F24" s="1154"/>
      <c r="G24" s="1155" t="str">
        <f>IF(OR(H19="",I24="noch leer"),"noch leer",(I24*100%)/(100%+H19))</f>
        <v>noch leer</v>
      </c>
      <c r="H24" s="1156"/>
      <c r="I24" s="905" t="str">
        <f>IF(I21="noch leer","noch leer",I21/100*B24)</f>
        <v>noch leer</v>
      </c>
      <c r="J24" s="178"/>
      <c r="K24" s="130"/>
      <c r="L24" s="133"/>
    </row>
    <row r="25" spans="1:12" ht="6" customHeight="1">
      <c r="A25" s="178"/>
      <c r="B25" s="178"/>
      <c r="C25" s="178"/>
      <c r="D25" s="178"/>
      <c r="E25" s="178"/>
      <c r="F25" s="178"/>
      <c r="G25" s="178"/>
      <c r="H25" s="178"/>
      <c r="I25" s="435"/>
      <c r="J25" s="178"/>
      <c r="K25" s="130"/>
      <c r="L25" s="133"/>
    </row>
    <row r="26" spans="1:12" ht="12.75" customHeight="1">
      <c r="A26" s="178"/>
      <c r="B26" s="440" t="str">
        <f>"Arbeitszeitbedarf - "&amp;C5</f>
        <v>Arbeitszeitbedarf - Festmist</v>
      </c>
      <c r="C26" s="440"/>
      <c r="D26" s="249"/>
      <c r="E26" s="441"/>
      <c r="F26" s="441"/>
      <c r="G26" s="441"/>
      <c r="H26" s="441"/>
      <c r="I26" s="435"/>
      <c r="J26" s="178"/>
      <c r="K26" s="130"/>
      <c r="L26" s="133"/>
    </row>
    <row r="27" spans="1:12" ht="12.75" customHeight="1">
      <c r="A27" s="178"/>
      <c r="B27" s="442" t="s">
        <v>346</v>
      </c>
      <c r="C27" s="442"/>
      <c r="D27" s="442"/>
      <c r="E27" s="442"/>
      <c r="F27" s="442"/>
      <c r="G27" s="425">
        <f>SUM(G10,G13,G16)/100*B24</f>
        <v>3.0833333333333335</v>
      </c>
      <c r="H27" s="3" t="s">
        <v>522</v>
      </c>
      <c r="I27" s="435"/>
      <c r="J27" s="178"/>
      <c r="K27" s="130"/>
      <c r="L27" s="133"/>
    </row>
    <row r="28" spans="1:12" ht="30" customHeight="1">
      <c r="A28" s="178"/>
      <c r="B28" s="178"/>
      <c r="C28" s="178"/>
      <c r="D28" s="178"/>
      <c r="E28" s="178"/>
      <c r="F28" s="178"/>
      <c r="G28" s="178"/>
      <c r="H28" s="178"/>
      <c r="I28" s="435"/>
      <c r="J28" s="178"/>
      <c r="K28" s="130"/>
      <c r="L28" s="133"/>
    </row>
    <row r="29" spans="2:12" ht="3" customHeight="1">
      <c r="B29" s="275"/>
      <c r="C29" s="275"/>
      <c r="D29" s="275"/>
      <c r="E29" s="275"/>
      <c r="F29" s="275"/>
      <c r="G29" s="275"/>
      <c r="H29" s="275"/>
      <c r="I29" s="443"/>
      <c r="K29" s="142"/>
      <c r="L29" s="133"/>
    </row>
    <row r="30" spans="1:12" ht="12.75" customHeight="1">
      <c r="A30" s="178"/>
      <c r="B30" s="411"/>
      <c r="C30" s="1160" t="str">
        <f>IF('[2]WD.ILeist'!D52="","",'[2]WD.ILeist'!D52)</f>
        <v>Jauche</v>
      </c>
      <c r="D30" s="412" t="s">
        <v>331</v>
      </c>
      <c r="E30" s="444"/>
      <c r="F30" s="414">
        <f>IF('[2]WD.ILeist'!X152="","",'[2]WD.ILeist'!X152)</f>
        <v>3000</v>
      </c>
      <c r="G30" s="415" t="str">
        <f>IF('[2]WD.ILeist'!Y152="","",'[2]WD.ILeist'!Y152)</f>
        <v> lt</v>
      </c>
      <c r="H30" s="416">
        <f>IF(G30&lt;&gt;" t",F30/1000,F30*10)</f>
        <v>3</v>
      </c>
      <c r="I30" s="445" t="str">
        <f>IF(G30=" t"," dt"," m³")</f>
        <v> m³</v>
      </c>
      <c r="J30" s="178"/>
      <c r="K30" s="142"/>
      <c r="L30" s="133"/>
    </row>
    <row r="31" spans="1:12" ht="12.75" customHeight="1">
      <c r="A31" s="178"/>
      <c r="B31" s="411"/>
      <c r="C31" s="1161"/>
      <c r="D31" s="412" t="str">
        <f>"Zeitbedarf pro "&amp;IF(C30="Festmist","Fuhre","Fass")</f>
        <v>Zeitbedarf pro Fass</v>
      </c>
      <c r="E31" s="249"/>
      <c r="F31" s="181"/>
      <c r="G31" s="418"/>
      <c r="H31" s="419">
        <f>SUM(E35,E38,E41)</f>
        <v>72</v>
      </c>
      <c r="I31" s="445" t="s">
        <v>332</v>
      </c>
      <c r="J31" s="178"/>
      <c r="K31" s="142"/>
      <c r="L31" s="133"/>
    </row>
    <row r="32" spans="1:12" ht="15" customHeight="1">
      <c r="A32" s="420"/>
      <c r="B32" s="288"/>
      <c r="C32" s="288"/>
      <c r="D32" s="276"/>
      <c r="E32" s="1162" t="str">
        <f>"Zeit/"&amp;IF(C30="Festmist","Fuhre","Fass")</f>
        <v>Zeit/Fass</v>
      </c>
      <c r="F32" s="1162"/>
      <c r="G32" s="421" t="str">
        <f>"Zeit/"&amp;IF(C30="Festmist",100&amp;" dt",10&amp;" m³")</f>
        <v>Zeit/10 m³</v>
      </c>
      <c r="H32" s="421" t="s">
        <v>60</v>
      </c>
      <c r="I32" s="421"/>
      <c r="J32" s="420"/>
      <c r="K32" s="130"/>
      <c r="L32" s="133"/>
    </row>
    <row r="33" spans="1:12" ht="9.75" customHeight="1">
      <c r="A33" s="178"/>
      <c r="B33" s="182"/>
      <c r="C33" s="182"/>
      <c r="D33" s="182" t="s">
        <v>347</v>
      </c>
      <c r="E33" s="182" t="s">
        <v>348</v>
      </c>
      <c r="F33" s="182" t="s">
        <v>335</v>
      </c>
      <c r="G33" s="348" t="s">
        <v>335</v>
      </c>
      <c r="H33" s="182" t="s">
        <v>336</v>
      </c>
      <c r="I33" s="182" t="s">
        <v>337</v>
      </c>
      <c r="J33" s="178"/>
      <c r="K33" s="130"/>
      <c r="L33" s="133"/>
    </row>
    <row r="34" spans="1:12" ht="12.75" customHeight="1">
      <c r="A34" s="178"/>
      <c r="B34" s="422" t="s">
        <v>338</v>
      </c>
      <c r="C34" s="422"/>
      <c r="D34" s="423"/>
      <c r="E34" s="991"/>
      <c r="F34" s="191"/>
      <c r="G34" s="191"/>
      <c r="H34" s="992"/>
      <c r="I34" s="719"/>
      <c r="J34" s="178"/>
      <c r="K34" s="130"/>
      <c r="L34" s="133"/>
    </row>
    <row r="35" spans="1:12" ht="12.75" customHeight="1">
      <c r="A35" s="178"/>
      <c r="B35" s="424">
        <v>1</v>
      </c>
      <c r="C35" s="183" t="str">
        <f>IF('[2]WD.ILeist'!$AB$134&lt;$B35,"",VLOOKUP("L1",Matrix2,4,0))</f>
        <v>Standardtraktor</v>
      </c>
      <c r="D35" s="392" t="str">
        <f>IF('[2]WD.ILeist'!$AB$134&lt;$B35,"",VLOOKUP("L1",Matrix2,6,0))</f>
        <v>45 KW</v>
      </c>
      <c r="E35" s="380">
        <f>IF('[2]WD.ILeist'!R69="","",'[2]WD.ILeist'!R69)</f>
        <v>7</v>
      </c>
      <c r="F35" s="190">
        <f>E35/60</f>
        <v>0.11666666666666667</v>
      </c>
      <c r="G35" s="190">
        <f>F35/$H$30*10</f>
        <v>0.3888888888888889</v>
      </c>
      <c r="H35" s="715">
        <f>IF('[2]WD.ILeist'!$AB$134&lt;$B35,"",VLOOKUP("L1",Matrix2,7,0))</f>
        <v>7.34</v>
      </c>
      <c r="I35" s="425">
        <f>G35*H35</f>
        <v>2.8544444444444443</v>
      </c>
      <c r="J35" s="178"/>
      <c r="K35" s="130"/>
      <c r="L35" s="133"/>
    </row>
    <row r="36" spans="1:12" ht="12.75" customHeight="1">
      <c r="A36" s="178"/>
      <c r="B36" s="424">
        <v>2</v>
      </c>
      <c r="C36" s="183" t="str">
        <f>IF('[2]WD.ILeist'!$AB$134&lt;$B36,"",VLOOKUP("L2",Matrix2,4,0))</f>
        <v>Vakuumfass</v>
      </c>
      <c r="D36" s="392" t="str">
        <f>IF('[2]WD.ILeist'!$AB$134&lt;$B36,"",VLOOKUP("L2",Matrix2,6,0))</f>
        <v>3000 lt</v>
      </c>
      <c r="E36" s="718">
        <f>IF(C36="","",E35)</f>
        <v>7</v>
      </c>
      <c r="F36" s="721">
        <f>E36/60</f>
        <v>0.11666666666666667</v>
      </c>
      <c r="G36" s="721">
        <f>F36/$H$30*10</f>
        <v>0.3888888888888889</v>
      </c>
      <c r="H36" s="425">
        <f>IF('[2]WD.ILeist'!$AB$134&lt;$B36,"",VLOOKUP("L2",Matrix2,7,0))</f>
        <v>1.26</v>
      </c>
      <c r="I36" s="716">
        <f>G36*H36</f>
        <v>0.49</v>
      </c>
      <c r="J36" s="178"/>
      <c r="K36" s="130"/>
      <c r="L36" s="133"/>
    </row>
    <row r="37" spans="1:12" ht="12.75" customHeight="1">
      <c r="A37" s="178"/>
      <c r="B37" s="422" t="s">
        <v>339</v>
      </c>
      <c r="C37" s="422"/>
      <c r="D37" s="426"/>
      <c r="E37" s="993"/>
      <c r="F37" s="994"/>
      <c r="G37" s="994"/>
      <c r="H37" s="995"/>
      <c r="I37" s="995"/>
      <c r="J37" s="178"/>
      <c r="K37" s="130"/>
      <c r="L37" s="133"/>
    </row>
    <row r="38" spans="1:12" ht="12.75" customHeight="1">
      <c r="A38" s="178"/>
      <c r="B38" s="424">
        <v>1</v>
      </c>
      <c r="C38" s="183" t="str">
        <f>IF('[2]WD.ILeist'!$AB$142&lt;$B38,"",VLOOKUP("T1",Matrix2,4,0))</f>
        <v>Standardtraktor</v>
      </c>
      <c r="D38" s="392" t="str">
        <f>IF('[2]WD.ILeist'!$AB$142&lt;$B38,"",VLOOKUP("T1",Matrix2,6,0))</f>
        <v>45 KW</v>
      </c>
      <c r="E38" s="718">
        <f>IF('[2]WD.ILeist'!R71="","",'[2]WD.ILeist'!R71)</f>
        <v>50</v>
      </c>
      <c r="F38" s="190">
        <f>E38/60</f>
        <v>0.8333333333333334</v>
      </c>
      <c r="G38" s="190">
        <f>F38/$H$30*10</f>
        <v>2.7777777777777777</v>
      </c>
      <c r="H38" s="425">
        <f>IF('[2]WD.ILeist'!$AB$142&lt;$B38,"",VLOOKUP("T1",Matrix2,7,0))</f>
        <v>7.34</v>
      </c>
      <c r="I38" s="425">
        <f>G38*H38</f>
        <v>20.38888888888889</v>
      </c>
      <c r="J38" s="178"/>
      <c r="K38" s="130"/>
      <c r="L38" s="133"/>
    </row>
    <row r="39" spans="1:12" ht="12.75" customHeight="1">
      <c r="A39" s="178"/>
      <c r="B39" s="424">
        <v>2</v>
      </c>
      <c r="C39" s="183" t="str">
        <f>IF('[2]WD.ILeist'!$AB$142&lt;$B39,"",VLOOKUP("T2",Matrix2,4,0))</f>
        <v>Vakuumfass</v>
      </c>
      <c r="D39" s="427" t="str">
        <f>IF('[2]WD.ILeist'!$AB$142&lt;$B39,"",VLOOKUP("T2",Matrix2,6,0))</f>
        <v>3000 lt</v>
      </c>
      <c r="E39" s="718">
        <f>IF(C39="","",E38)</f>
        <v>50</v>
      </c>
      <c r="F39" s="190">
        <f>E39/60</f>
        <v>0.8333333333333334</v>
      </c>
      <c r="G39" s="190">
        <f>F39/$H$30*10</f>
        <v>2.7777777777777777</v>
      </c>
      <c r="H39" s="425">
        <f>IF('[2]WD.ILeist'!$AB$142&lt;$B39,"",VLOOKUP("T2",Matrix2,7,0))</f>
        <v>1.26</v>
      </c>
      <c r="I39" s="425">
        <f>G39*H39</f>
        <v>3.5</v>
      </c>
      <c r="J39" s="178"/>
      <c r="K39" s="130"/>
      <c r="L39" s="133"/>
    </row>
    <row r="40" spans="1:12" ht="12.75" customHeight="1">
      <c r="A40" s="178"/>
      <c r="B40" s="422" t="s">
        <v>340</v>
      </c>
      <c r="C40" s="422"/>
      <c r="D40" s="426"/>
      <c r="E40" s="993"/>
      <c r="F40" s="994"/>
      <c r="G40" s="994"/>
      <c r="H40" s="995"/>
      <c r="I40" s="995"/>
      <c r="J40" s="178"/>
      <c r="K40" s="130"/>
      <c r="L40" s="133"/>
    </row>
    <row r="41" spans="1:12" ht="12.75" customHeight="1">
      <c r="A41" s="178"/>
      <c r="B41" s="424">
        <v>1</v>
      </c>
      <c r="C41" s="183" t="str">
        <f>IF('[2]WD.ILeist'!$AB$150&lt;$B41,"",VLOOKUP("A1",Matrix2,4,0))</f>
        <v>Standardtraktor</v>
      </c>
      <c r="D41" s="392" t="str">
        <f>IF('[2]WD.ILeist'!$AB$150&lt;$B41,"",VLOOKUP("A1",Matrix2,6,0))</f>
        <v>45 KW</v>
      </c>
      <c r="E41" s="718">
        <f>IF('[2]WD.ILeist'!R73="","",'[2]WD.ILeist'!R73)</f>
        <v>15</v>
      </c>
      <c r="F41" s="190">
        <f>E41/60</f>
        <v>0.25</v>
      </c>
      <c r="G41" s="190">
        <f>F41/$H$30*10</f>
        <v>0.8333333333333333</v>
      </c>
      <c r="H41" s="425">
        <f>IF('[2]WD.ILeist'!$AB$150&lt;$B41,"",VLOOKUP("A1",Matrix2,7,0))</f>
        <v>7.34</v>
      </c>
      <c r="I41" s="425">
        <f>G41*H41</f>
        <v>6.116666666666666</v>
      </c>
      <c r="J41" s="178"/>
      <c r="K41" s="130"/>
      <c r="L41" s="133"/>
    </row>
    <row r="42" spans="1:12" ht="12.75" customHeight="1">
      <c r="A42" s="178"/>
      <c r="B42" s="424">
        <v>2</v>
      </c>
      <c r="C42" s="183" t="str">
        <f>IF('[2]WD.ILeist'!$AB$150&lt;$B42,"",VLOOKUP("A2",Matrix2,4,0))</f>
        <v>Vakuumfass</v>
      </c>
      <c r="D42" s="427" t="str">
        <f>IF('[2]WD.ILeist'!$AB$150&lt;$B42,"",VLOOKUP("A2",Matrix2,6,0))</f>
        <v>3000 lt</v>
      </c>
      <c r="E42" s="718">
        <f>IF(C42="","",E41)</f>
        <v>15</v>
      </c>
      <c r="F42" s="190">
        <f>E42/60</f>
        <v>0.25</v>
      </c>
      <c r="G42" s="190">
        <f>F42/$H$30*10</f>
        <v>0.8333333333333333</v>
      </c>
      <c r="H42" s="425">
        <f>IF('[2]WD.ILeist'!$AB$150&lt;$B42,"",VLOOKUP("A2",Matrix2,7,0))</f>
        <v>1.26</v>
      </c>
      <c r="I42" s="715">
        <f>G42*H42</f>
        <v>1.0499999999999998</v>
      </c>
      <c r="J42" s="178"/>
      <c r="K42" s="130"/>
      <c r="L42" s="133"/>
    </row>
    <row r="43" spans="1:12" ht="12.75" customHeight="1">
      <c r="A43" s="178"/>
      <c r="B43" s="200" t="str">
        <f>"Summe variable Maschinenkosten - "&amp;'WD.1Dgl'!C30</f>
        <v>Summe variable Maschinenkosten - Jauche</v>
      </c>
      <c r="C43" s="200"/>
      <c r="D43" s="200"/>
      <c r="E43" s="200"/>
      <c r="F43" s="200"/>
      <c r="G43" s="428"/>
      <c r="H43" s="429"/>
      <c r="I43" s="725">
        <f>SUM(I35:I42)</f>
        <v>34.4</v>
      </c>
      <c r="J43" s="178"/>
      <c r="K43" s="130"/>
      <c r="L43" s="133"/>
    </row>
    <row r="44" spans="1:12" ht="12.75" customHeight="1">
      <c r="A44" s="178"/>
      <c r="B44" s="197" t="s">
        <v>341</v>
      </c>
      <c r="C44" s="197"/>
      <c r="D44" s="183"/>
      <c r="E44" s="183"/>
      <c r="F44" s="183"/>
      <c r="G44" s="431"/>
      <c r="H44" s="901">
        <f>IF('[2]WD.ILeist'!D24="","",'[2]WD.ILeist'!D24)</f>
        <v>0.2</v>
      </c>
      <c r="I44" s="425">
        <f>I43+I43*H44</f>
        <v>41.28</v>
      </c>
      <c r="J44" s="178"/>
      <c r="K44" s="130"/>
      <c r="L44" s="133"/>
    </row>
    <row r="45" spans="1:12" ht="12.75" customHeight="1">
      <c r="A45" s="178"/>
      <c r="B45" s="183"/>
      <c r="C45" s="183"/>
      <c r="D45" s="183"/>
      <c r="E45" s="183"/>
      <c r="F45" s="183"/>
      <c r="G45" s="397" t="s">
        <v>342</v>
      </c>
      <c r="H45" s="901">
        <f>IF('[2]WD.ILeist'!S75="","",'[2]WD.ILeist'!S75)</f>
        <v>0.1</v>
      </c>
      <c r="I45" s="425">
        <f>I44*H45</f>
        <v>4.128</v>
      </c>
      <c r="J45" s="178"/>
      <c r="K45" s="130"/>
      <c r="L45" s="133"/>
    </row>
    <row r="46" spans="1:12" ht="12.75" customHeight="1">
      <c r="A46" s="178"/>
      <c r="B46" s="432" t="str">
        <f>"GESAMTE MASCHINENKOSTEN je "&amp;IF(C30="Festmist",100&amp;" dt",10&amp;" m³")</f>
        <v>GESAMTE MASCHINENKOSTEN je 10 m³</v>
      </c>
      <c r="C46" s="433"/>
      <c r="D46" s="433"/>
      <c r="E46" s="433"/>
      <c r="F46" s="433"/>
      <c r="G46" s="433"/>
      <c r="H46" s="433"/>
      <c r="I46" s="902">
        <f>SUM(I44:I45)</f>
        <v>45.408</v>
      </c>
      <c r="J46" s="178"/>
      <c r="K46" s="130"/>
      <c r="L46" s="133"/>
    </row>
    <row r="47" spans="1:12" ht="6" customHeight="1">
      <c r="A47" s="178"/>
      <c r="B47" s="178"/>
      <c r="C47" s="178"/>
      <c r="D47" s="178"/>
      <c r="E47" s="178"/>
      <c r="F47" s="178"/>
      <c r="G47" s="178"/>
      <c r="H47" s="178"/>
      <c r="I47" s="435"/>
      <c r="J47" s="178"/>
      <c r="K47" s="130"/>
      <c r="L47" s="133"/>
    </row>
    <row r="48" spans="1:12" ht="12.75" customHeight="1">
      <c r="A48" s="178"/>
      <c r="B48" s="436" t="s">
        <v>343</v>
      </c>
      <c r="C48" s="436"/>
      <c r="D48" s="436"/>
      <c r="E48" s="436"/>
      <c r="F48" s="436"/>
      <c r="G48" s="1152" t="s">
        <v>344</v>
      </c>
      <c r="H48" s="1152"/>
      <c r="I48" s="182" t="s">
        <v>345</v>
      </c>
      <c r="J48" s="178"/>
      <c r="K48" s="130"/>
      <c r="L48" s="717"/>
    </row>
    <row r="49" spans="1:12" ht="12.75" customHeight="1">
      <c r="A49" s="178"/>
      <c r="B49" s="437">
        <f>IF('[2]WD.ILeist'!S77="","",'[2]WD.ILeist'!S77)</f>
        <v>8</v>
      </c>
      <c r="C49" s="438" t="str">
        <f>IF('[2]WD.ILeist'!F77="","",'[2]WD.ILeist'!I77)</f>
        <v>m³</v>
      </c>
      <c r="D49" s="439" t="str">
        <f>IF('[2]WD.ILeist'!D52="Festmist",'[2]WD.ILeist'!D18&amp;" kg Stickstoff/t",'[2]WD.ILeist'!D18&amp;" kg Stickstoff/m³")</f>
        <v>3,5 kg Stickstoff/m³</v>
      </c>
      <c r="E49" s="1153">
        <f>IF('[2]WD.ILeist'!D52="Festmist",'[2]WD.ILeist'!D18*'[2]WD.ILeist'!F77/10,'[2]WD.ILeist'!D18*'[2]WD.ILeist'!F77)</f>
        <v>28</v>
      </c>
      <c r="F49" s="1154"/>
      <c r="G49" s="1155">
        <f>IF(OR(H44="",I49=""),"noch leer",(I49*100%)/(100%+H44))</f>
        <v>30.272000000000002</v>
      </c>
      <c r="H49" s="1156"/>
      <c r="I49" s="425">
        <f>I46/10*B49</f>
        <v>36.3264</v>
      </c>
      <c r="J49" s="178"/>
      <c r="K49" s="130"/>
      <c r="L49" s="717"/>
    </row>
    <row r="50" spans="1:12" ht="6" customHeight="1">
      <c r="A50" s="178"/>
      <c r="B50" s="178"/>
      <c r="C50" s="178"/>
      <c r="D50" s="178"/>
      <c r="E50" s="178"/>
      <c r="F50" s="178"/>
      <c r="G50" s="178"/>
      <c r="H50" s="178"/>
      <c r="I50" s="178"/>
      <c r="J50" s="178"/>
      <c r="K50" s="130"/>
      <c r="L50" s="717"/>
    </row>
    <row r="51" spans="1:12" ht="12.75" customHeight="1">
      <c r="A51" s="178"/>
      <c r="B51" s="440" t="str">
        <f>"Arbeitszeitbedarf - "&amp;C30</f>
        <v>Arbeitszeitbedarf - Jauche</v>
      </c>
      <c r="C51" s="440"/>
      <c r="D51" s="249"/>
      <c r="E51" s="441"/>
      <c r="F51" s="441"/>
      <c r="G51" s="441"/>
      <c r="H51" s="441"/>
      <c r="I51" s="178"/>
      <c r="J51" s="178"/>
      <c r="K51" s="130"/>
      <c r="L51" s="717"/>
    </row>
    <row r="52" spans="1:12" ht="12.75" customHeight="1">
      <c r="A52" s="178"/>
      <c r="B52" s="442" t="s">
        <v>346</v>
      </c>
      <c r="C52" s="442"/>
      <c r="D52" s="442"/>
      <c r="E52" s="442"/>
      <c r="F52" s="442"/>
      <c r="G52" s="425">
        <f>SUM(G35,G38,G41)/10*B49</f>
        <v>3.2</v>
      </c>
      <c r="H52" s="3" t="s">
        <v>522</v>
      </c>
      <c r="I52" s="178"/>
      <c r="J52" s="178"/>
      <c r="K52" s="130"/>
      <c r="L52" s="717"/>
    </row>
    <row r="53" spans="1:12" ht="12.75" customHeight="1">
      <c r="A53" s="178"/>
      <c r="B53" s="178"/>
      <c r="C53" s="178"/>
      <c r="D53" s="178"/>
      <c r="E53" s="178"/>
      <c r="F53" s="178"/>
      <c r="G53" s="435"/>
      <c r="H53" s="178"/>
      <c r="I53" s="178"/>
      <c r="J53" s="178"/>
      <c r="K53" s="130"/>
      <c r="L53" s="717"/>
    </row>
    <row r="54" spans="1:12" ht="12.75" customHeight="1">
      <c r="A54" s="178"/>
      <c r="B54" s="194" t="str">
        <f>"Gesamtbedarf pro Jahr bei "&amp;B2</f>
        <v>Gesamtbedarf pro Jahr bei Dauergrünland 1-schnittig</v>
      </c>
      <c r="C54" s="194"/>
      <c r="D54" s="194"/>
      <c r="E54" s="194"/>
      <c r="F54" s="194"/>
      <c r="G54" s="349"/>
      <c r="H54" s="249"/>
      <c r="I54" s="446" t="s">
        <v>349</v>
      </c>
      <c r="J54" s="178"/>
      <c r="K54" s="130"/>
      <c r="L54" s="717"/>
    </row>
    <row r="55" spans="1:12" ht="12.75" customHeight="1">
      <c r="A55" s="178"/>
      <c r="B55" s="447" t="s">
        <v>350</v>
      </c>
      <c r="C55" s="447"/>
      <c r="D55" s="447"/>
      <c r="E55" s="447"/>
      <c r="F55" s="447"/>
      <c r="G55" s="448">
        <f>IF('[2]WD.ILeist'!D20="","",'[2]WD.ILeist'!D20)</f>
        <v>2.7</v>
      </c>
      <c r="H55" s="3" t="s">
        <v>351</v>
      </c>
      <c r="I55" s="1157" t="str">
        <f>IF(G56&gt;='[2]WD.ILeist'!D14,"Achtung: Zu hohe
N-Gaben für das ÖPUL (ab 15.12.2005)","-")</f>
        <v>-</v>
      </c>
      <c r="J55" s="178"/>
      <c r="K55" s="130"/>
      <c r="L55" s="717"/>
    </row>
    <row r="56" spans="1:12" ht="12.75" customHeight="1">
      <c r="A56" s="178"/>
      <c r="B56" s="447" t="s">
        <v>352</v>
      </c>
      <c r="C56" s="447"/>
      <c r="D56" s="447"/>
      <c r="E56" s="447"/>
      <c r="F56" s="447"/>
      <c r="G56" s="720">
        <f>SUM(E24,E49)</f>
        <v>63</v>
      </c>
      <c r="H56" s="3" t="s">
        <v>353</v>
      </c>
      <c r="I56" s="1158"/>
      <c r="J56" s="178"/>
      <c r="K56" s="130"/>
      <c r="L56" s="717"/>
    </row>
    <row r="57" spans="1:12" ht="12.75" customHeight="1">
      <c r="A57" s="178"/>
      <c r="B57" s="447" t="str">
        <f>"Bedarf an: "&amp;C5</f>
        <v>Bedarf an: Festmist</v>
      </c>
      <c r="C57" s="447"/>
      <c r="D57" s="447"/>
      <c r="E57" s="447"/>
      <c r="F57" s="447"/>
      <c r="G57" s="903">
        <f>G55*B24</f>
        <v>270</v>
      </c>
      <c r="H57" s="3" t="str">
        <f>IF(C5="Festmist"," dt/Jahr"," m³/Jahr")</f>
        <v> dt/Jahr</v>
      </c>
      <c r="I57" s="1158"/>
      <c r="J57" s="178"/>
      <c r="K57" s="130"/>
      <c r="L57" s="133"/>
    </row>
    <row r="58" spans="1:12" ht="12.75" customHeight="1">
      <c r="A58" s="178"/>
      <c r="B58" s="447" t="str">
        <f>"                   "&amp;C30</f>
        <v>                   Jauche</v>
      </c>
      <c r="C58" s="447"/>
      <c r="D58" s="447"/>
      <c r="E58" s="447"/>
      <c r="F58" s="447"/>
      <c r="G58" s="903">
        <f>G55*B49</f>
        <v>21.6</v>
      </c>
      <c r="H58" s="3" t="str">
        <f>IF(C30="Festmist"," dt/Jahr"," m³/Jahr")</f>
        <v> m³/Jahr</v>
      </c>
      <c r="I58" s="1158"/>
      <c r="J58" s="178"/>
      <c r="K58" s="130"/>
      <c r="L58" s="133"/>
    </row>
    <row r="59" spans="1:12" ht="12.75" customHeight="1">
      <c r="A59" s="178"/>
      <c r="B59" s="447" t="str">
        <f>"Arbeitszeitbedarf - gesamt ("&amp;C5&amp;" und "&amp;C30&amp;")"</f>
        <v>Arbeitszeitbedarf - gesamt (Festmist und Jauche)</v>
      </c>
      <c r="C59" s="447"/>
      <c r="D59" s="447"/>
      <c r="E59" s="447"/>
      <c r="F59" s="447"/>
      <c r="G59" s="903">
        <f>SUM(G27,G52)</f>
        <v>6.283333333333333</v>
      </c>
      <c r="H59" s="3" t="s">
        <v>522</v>
      </c>
      <c r="I59" s="1159"/>
      <c r="J59" s="178"/>
      <c r="K59" s="130"/>
      <c r="L59" s="133"/>
    </row>
    <row r="60" spans="1:12" ht="12.75" customHeight="1">
      <c r="A60" s="178"/>
      <c r="B60" s="178"/>
      <c r="C60" s="178"/>
      <c r="D60" s="178"/>
      <c r="E60" s="178"/>
      <c r="F60" s="178"/>
      <c r="G60" s="178"/>
      <c r="H60" s="178"/>
      <c r="I60" s="178"/>
      <c r="J60" s="178"/>
      <c r="K60" s="130"/>
      <c r="L60" s="133"/>
    </row>
    <row r="61" spans="11:12" ht="12.75" hidden="1">
      <c r="K61" s="18"/>
      <c r="L61" s="220"/>
    </row>
    <row r="62" spans="11:12" ht="12.75" hidden="1">
      <c r="K62" s="18"/>
      <c r="L62" s="220"/>
    </row>
    <row r="63" ht="12.75" hidden="1">
      <c r="K63" s="18"/>
    </row>
    <row r="64" ht="12.75" hidden="1">
      <c r="K64" s="18"/>
    </row>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sheetData>
  <sheetProtection sheet="1" objects="1" scenarios="1"/>
  <mergeCells count="13">
    <mergeCell ref="C30:C31"/>
    <mergeCell ref="E32:F32"/>
    <mergeCell ref="A1:A2"/>
    <mergeCell ref="C5:C6"/>
    <mergeCell ref="E7:F7"/>
    <mergeCell ref="G23:H23"/>
    <mergeCell ref="L1:L3"/>
    <mergeCell ref="G48:H48"/>
    <mergeCell ref="E49:F49"/>
    <mergeCell ref="G49:H49"/>
    <mergeCell ref="I55:I59"/>
    <mergeCell ref="E24:F24"/>
    <mergeCell ref="G24:H24"/>
  </mergeCells>
  <conditionalFormatting sqref="H5 H30">
    <cfRule type="expression" priority="1" dxfId="23" stopIfTrue="1">
      <formula>F5=""</formula>
    </cfRule>
    <cfRule type="expression" priority="2" dxfId="198" stopIfTrue="1">
      <formula>G5&lt;&gt;" kg"</formula>
    </cfRule>
  </conditionalFormatting>
  <conditionalFormatting sqref="E35:I36 E10:I11 E41:I42 E38:I39 E16:I17 E13:I14">
    <cfRule type="expression" priority="3" dxfId="41" stopIfTrue="1">
      <formula>OR($C10="",$D10="")</formula>
    </cfRule>
  </conditionalFormatting>
  <conditionalFormatting sqref="H6 H31 H44:H45 H19:H20">
    <cfRule type="cellIs" priority="4" dxfId="23" operator="equal" stopIfTrue="1">
      <formula>""</formula>
    </cfRule>
  </conditionalFormatting>
  <conditionalFormatting sqref="C5 C30">
    <cfRule type="cellIs" priority="5" dxfId="54" operator="equal" stopIfTrue="1">
      <formula>""</formula>
    </cfRule>
  </conditionalFormatting>
  <conditionalFormatting sqref="G49:H49 I20:I21 G24:I24">
    <cfRule type="cellIs" priority="6" dxfId="1" operator="equal" stopIfTrue="1">
      <formula>"noch leer"</formula>
    </cfRule>
  </conditionalFormatting>
  <conditionalFormatting sqref="I55:I59">
    <cfRule type="cellIs" priority="7" dxfId="23" operator="equal" stopIfTrue="1">
      <formula>"-"</formula>
    </cfRule>
  </conditionalFormatting>
  <conditionalFormatting sqref="G5 G30">
    <cfRule type="cellIs" priority="8" dxfId="56" operator="notEqual" stopIfTrue="1">
      <formula>" t"</formula>
    </cfRule>
  </conditionalFormatting>
  <conditionalFormatting sqref="F5 F30">
    <cfRule type="cellIs" priority="9" dxfId="23" operator="equal" stopIfTrue="1">
      <formula>""</formula>
    </cfRule>
    <cfRule type="expression" priority="10" dxfId="54" stopIfTrue="1">
      <formula>G5&lt;&gt;" t"</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3"/>
  <headerFooter alignWithMargins="0">
    <oddHeader>&amp;R&amp;8&amp;U&amp;F - Seite &amp;P/&amp;N</oddHeader>
  </headerFooter>
  <legacyDrawing r:id="rId2"/>
</worksheet>
</file>

<file path=xl/worksheets/sheet11.xml><?xml version="1.0" encoding="utf-8"?>
<worksheet xmlns="http://schemas.openxmlformats.org/spreadsheetml/2006/main" xmlns:r="http://schemas.openxmlformats.org/officeDocument/2006/relationships">
  <sheetPr>
    <tabColor indexed="10"/>
  </sheetPr>
  <dimension ref="A1:K48"/>
  <sheetViews>
    <sheetView showGridLines="0" zoomScalePageLayoutView="0" workbookViewId="0" topLeftCell="A1">
      <pane ySplit="10" topLeftCell="A11" activePane="bottomLeft" state="frozen"/>
      <selection pane="topLeft" activeCell="E12" sqref="E12:M18"/>
      <selection pane="bottomLeft" activeCell="F8" sqref="F8:G8"/>
    </sheetView>
  </sheetViews>
  <sheetFormatPr defaultColWidth="0" defaultRowHeight="12.75" zeroHeight="1"/>
  <cols>
    <col min="1" max="1" width="2.28125" style="79" customWidth="1"/>
    <col min="2" max="4" width="11.28125" style="79" customWidth="1"/>
    <col min="5" max="6" width="10.00390625" style="79" customWidth="1"/>
    <col min="7" max="8" width="11.7109375" style="79" customWidth="1"/>
    <col min="9" max="9" width="2.28125" style="79" customWidth="1"/>
    <col min="10" max="10" width="0.85546875" style="65" customWidth="1"/>
    <col min="11" max="11" width="26.7109375" style="65" customWidth="1"/>
    <col min="12" max="16384" width="14.8515625" style="79" hidden="1" customWidth="1"/>
  </cols>
  <sheetData>
    <row r="1" spans="1:11" ht="24.75" customHeight="1">
      <c r="A1" s="498"/>
      <c r="B1" s="498" t="str">
        <f>"Vollkstenrechnung "&amp;C3</f>
        <v>Vollkstenrechnung Marille - Jogurt</v>
      </c>
      <c r="C1" s="498"/>
      <c r="D1" s="498"/>
      <c r="E1" s="498"/>
      <c r="F1" s="498"/>
      <c r="G1" s="498"/>
      <c r="H1" s="498"/>
      <c r="I1" s="498"/>
      <c r="J1" s="459"/>
      <c r="K1" s="1163" t="s">
        <v>100</v>
      </c>
    </row>
    <row r="2" spans="1:11" ht="24.75" customHeight="1">
      <c r="A2" s="499"/>
      <c r="B2" s="499"/>
      <c r="C2" s="499"/>
      <c r="D2" s="499"/>
      <c r="E2" s="499"/>
      <c r="F2" s="499"/>
      <c r="G2" s="499"/>
      <c r="H2" s="499"/>
      <c r="I2" s="499"/>
      <c r="J2" s="462"/>
      <c r="K2" s="1163"/>
    </row>
    <row r="3" spans="1:11" ht="15" customHeight="1">
      <c r="A3" s="500"/>
      <c r="B3" s="501" t="s">
        <v>411</v>
      </c>
      <c r="C3" s="502" t="str">
        <f>IF('[2]Jog'!C12="","",'[2]Jog'!C12)</f>
        <v>Marille - Jogurt</v>
      </c>
      <c r="D3" s="503"/>
      <c r="E3" s="504"/>
      <c r="F3" s="505"/>
      <c r="G3" s="500"/>
      <c r="H3" s="500"/>
      <c r="I3" s="500"/>
      <c r="J3" s="465"/>
      <c r="K3" s="1163"/>
    </row>
    <row r="4" spans="1:11" ht="9.75" customHeight="1">
      <c r="A4" s="500"/>
      <c r="B4" s="500"/>
      <c r="C4" s="500"/>
      <c r="D4" s="500"/>
      <c r="E4" s="500"/>
      <c r="F4" s="500"/>
      <c r="G4" s="500"/>
      <c r="H4" s="506"/>
      <c r="I4" s="500"/>
      <c r="J4" s="465"/>
      <c r="K4" s="1163"/>
    </row>
    <row r="5" spans="1:11" ht="12" customHeight="1">
      <c r="A5" s="500"/>
      <c r="B5" s="501" t="s">
        <v>412</v>
      </c>
      <c r="C5" s="507"/>
      <c r="D5" s="507"/>
      <c r="E5" s="507"/>
      <c r="F5" s="1165">
        <f>IF('[2]Jog'!N17="","",'[2]Jog'!N17)</f>
      </c>
      <c r="G5" s="1165"/>
      <c r="H5" s="509">
        <f>IF('[2]Jog'!N15="","",'[2]Jog'!N15)</f>
      </c>
      <c r="I5" s="500"/>
      <c r="J5" s="465"/>
      <c r="K5" s="466"/>
    </row>
    <row r="6" spans="1:11" ht="12" customHeight="1">
      <c r="A6" s="500"/>
      <c r="B6" s="510" t="str">
        <f>IF('[2]Jog'!B15="","",'[2]Jog'!B15)</f>
        <v>Glasgröße</v>
      </c>
      <c r="C6" s="510"/>
      <c r="D6" s="511"/>
      <c r="E6" s="512"/>
      <c r="F6" s="512"/>
      <c r="G6" s="512"/>
      <c r="H6" s="513">
        <f>IF('[2]Jog'!M15="","",'[2]Jog'!M15)</f>
        <v>0.5</v>
      </c>
      <c r="I6" s="500"/>
      <c r="J6" s="465"/>
      <c r="K6" s="466"/>
    </row>
    <row r="7" spans="1:11" ht="12" customHeight="1" thickBot="1">
      <c r="A7" s="500"/>
      <c r="B7" s="510" t="str">
        <f>IF('[2]Jog'!B17="","",'[2]Jog'!B17)</f>
        <v>Verkaufsmenge</v>
      </c>
      <c r="C7" s="510" t="s">
        <v>413</v>
      </c>
      <c r="D7" s="510"/>
      <c r="E7" s="510"/>
      <c r="F7" s="1167">
        <f>IF('[2]Jog'!M17="","",'[2]Jog'!M17)</f>
        <v>100</v>
      </c>
      <c r="G7" s="1168"/>
      <c r="H7" s="500"/>
      <c r="I7" s="500"/>
      <c r="J7" s="465"/>
      <c r="K7" s="466"/>
    </row>
    <row r="8" spans="1:11" ht="12" customHeight="1" thickBot="1">
      <c r="A8" s="500"/>
      <c r="B8" s="510"/>
      <c r="C8" s="510" t="s">
        <v>414</v>
      </c>
      <c r="D8" s="510"/>
      <c r="E8" s="510"/>
      <c r="F8" s="1169"/>
      <c r="G8" s="1170"/>
      <c r="H8" s="500"/>
      <c r="I8" s="500"/>
      <c r="J8" s="465"/>
      <c r="K8" s="466"/>
    </row>
    <row r="9" spans="1:11" ht="12" customHeight="1" thickBot="1">
      <c r="A9" s="500"/>
      <c r="B9" s="510" t="str">
        <f>IF('[2]Jog'!B19="","",'[2]Jog'!B19)</f>
        <v>Verkaufserlös</v>
      </c>
      <c r="C9" s="510"/>
      <c r="D9" s="510"/>
      <c r="E9" s="510"/>
      <c r="F9" s="1171"/>
      <c r="G9" s="1172"/>
      <c r="H9" s="514">
        <f>IF('[2]Jog'!M19="","",'[2]Jog'!M19)</f>
        <v>1.4</v>
      </c>
      <c r="I9" s="500"/>
      <c r="J9" s="465"/>
      <c r="K9" s="466"/>
    </row>
    <row r="10" spans="1:11" ht="24" customHeight="1" thickBot="1">
      <c r="A10" s="500"/>
      <c r="B10" s="515" t="str">
        <f>IF(F10="","Berechnung fehlt!",IF(F10&gt;0,"Gewinn","Verlust!"))</f>
        <v>Berechnung fehlt!</v>
      </c>
      <c r="C10" s="1175" t="str">
        <f>IF(OR(H9="",H45="",H9="noch leer",H45="noch leer"),"Gewinn/Verlust?",IF(H9&lt;H45,"ACHTUNG: Der Preis deckt die Kosten nicht ab!!!",IF(H10&lt;H46,"ACHTUNG: Der tatsächliche Gewinn liegt unter dem Gewinnzuschlag!!!","")))</f>
        <v>Gewinn/Verlust?</v>
      </c>
      <c r="D10" s="1175"/>
      <c r="E10" s="1176"/>
      <c r="F10" s="1173"/>
      <c r="G10" s="1174"/>
      <c r="H10" s="771" t="str">
        <f>IF(OR(H9="",H45="noch leer"),"noch leer",H9-H45)</f>
        <v>noch leer</v>
      </c>
      <c r="I10" s="505"/>
      <c r="J10" s="462"/>
      <c r="K10" s="475"/>
    </row>
    <row r="11" spans="1:11" ht="9.75" customHeight="1">
      <c r="A11" s="500"/>
      <c r="B11" s="500"/>
      <c r="C11" s="500"/>
      <c r="D11" s="500"/>
      <c r="E11" s="500"/>
      <c r="F11" s="500"/>
      <c r="G11" s="500"/>
      <c r="H11" s="500"/>
      <c r="I11" s="500"/>
      <c r="J11" s="465"/>
      <c r="K11" s="466"/>
    </row>
    <row r="12" spans="1:11" ht="12" customHeight="1">
      <c r="A12" s="500"/>
      <c r="B12" s="501" t="s">
        <v>415</v>
      </c>
      <c r="C12" s="516"/>
      <c r="D12" s="516"/>
      <c r="E12" s="516"/>
      <c r="F12" s="516"/>
      <c r="G12" s="516"/>
      <c r="H12" s="516"/>
      <c r="I12" s="505"/>
      <c r="J12" s="465"/>
      <c r="K12" s="466"/>
    </row>
    <row r="13" spans="1:11" ht="12" customHeight="1">
      <c r="A13" s="500"/>
      <c r="B13" s="501" t="s">
        <v>416</v>
      </c>
      <c r="C13" s="501"/>
      <c r="D13" s="508"/>
      <c r="E13" s="517"/>
      <c r="F13" s="517"/>
      <c r="G13" s="517"/>
      <c r="H13" s="517"/>
      <c r="I13" s="505"/>
      <c r="J13" s="482"/>
      <c r="K13" s="466"/>
    </row>
    <row r="14" spans="1:11" ht="12" customHeight="1">
      <c r="A14" s="500"/>
      <c r="B14" s="501" t="s">
        <v>60</v>
      </c>
      <c r="C14" s="501"/>
      <c r="D14" s="1177" t="s">
        <v>276</v>
      </c>
      <c r="E14" s="1164" t="s">
        <v>417</v>
      </c>
      <c r="F14" s="1164"/>
      <c r="G14" s="1164" t="str">
        <f>"Gesamtkosten
"&amp;F5</f>
        <v>Gesamtkosten
</v>
      </c>
      <c r="H14" s="1164" t="s">
        <v>418</v>
      </c>
      <c r="I14" s="505"/>
      <c r="J14" s="482"/>
      <c r="K14" s="466"/>
    </row>
    <row r="15" spans="1:11" ht="12" customHeight="1" thickBot="1">
      <c r="A15" s="500"/>
      <c r="B15" s="516" t="s">
        <v>419</v>
      </c>
      <c r="C15" s="516"/>
      <c r="D15" s="1178"/>
      <c r="E15" s="1166"/>
      <c r="F15" s="1166"/>
      <c r="G15" s="1164"/>
      <c r="H15" s="1164"/>
      <c r="I15" s="505"/>
      <c r="J15" s="482"/>
      <c r="K15" s="466"/>
    </row>
    <row r="16" spans="1:11" ht="12" customHeight="1" thickBot="1">
      <c r="A16" s="500"/>
      <c r="B16" s="510" t="str">
        <f>IF('[2]Jog'!B22="","",'[2]Jog'!B22)</f>
        <v>Rohmilch</v>
      </c>
      <c r="C16" s="510"/>
      <c r="D16" s="519">
        <f>F7</f>
        <v>100</v>
      </c>
      <c r="E16" s="520">
        <f>IF('[2]Jog'!M22="","",'[2]Jog'!M22)</f>
        <v>0.34</v>
      </c>
      <c r="F16" s="521" t="str">
        <f>IF('[2]Jog'!N22="","",'[2]Jog'!N22)</f>
        <v>pro lt</v>
      </c>
      <c r="G16" s="522"/>
      <c r="H16" s="523"/>
      <c r="I16" s="505"/>
      <c r="J16" s="465"/>
      <c r="K16" s="466"/>
    </row>
    <row r="17" spans="1:11" ht="12" customHeight="1" thickBot="1">
      <c r="A17" s="500"/>
      <c r="B17" s="524" t="s">
        <v>420</v>
      </c>
      <c r="C17" s="524"/>
      <c r="D17" s="525"/>
      <c r="E17" s="526"/>
      <c r="F17" s="526"/>
      <c r="G17" s="773" t="str">
        <f>IF(G16="","noch leer",SUM(G16))</f>
        <v>noch leer</v>
      </c>
      <c r="H17" s="527"/>
      <c r="I17" s="505"/>
      <c r="J17" s="462"/>
      <c r="K17" s="475"/>
    </row>
    <row r="18" spans="1:11" ht="3" customHeight="1">
      <c r="A18" s="500"/>
      <c r="B18" s="528"/>
      <c r="C18" s="528"/>
      <c r="D18" s="529"/>
      <c r="E18" s="530"/>
      <c r="F18" s="530"/>
      <c r="G18" s="530"/>
      <c r="H18" s="530"/>
      <c r="I18" s="505"/>
      <c r="J18" s="465"/>
      <c r="K18" s="466"/>
    </row>
    <row r="19" spans="1:11" ht="12" customHeight="1" thickBot="1">
      <c r="A19" s="500"/>
      <c r="B19" s="516" t="s">
        <v>421</v>
      </c>
      <c r="C19" s="516"/>
      <c r="D19" s="518" t="s">
        <v>276</v>
      </c>
      <c r="E19" s="531" t="s">
        <v>422</v>
      </c>
      <c r="F19" s="532" t="s">
        <v>423</v>
      </c>
      <c r="G19" s="518" t="s">
        <v>424</v>
      </c>
      <c r="H19" s="518" t="s">
        <v>425</v>
      </c>
      <c r="I19" s="505"/>
      <c r="J19" s="465"/>
      <c r="K19" s="466"/>
    </row>
    <row r="20" spans="1:11" ht="12" customHeight="1" thickBot="1">
      <c r="A20" s="500"/>
      <c r="B20" s="510" t="str">
        <f>IF('[2]Jog'!B25="","",'[2]Jog'!B25)</f>
        <v>Glas</v>
      </c>
      <c r="C20" s="510"/>
      <c r="D20" s="533">
        <f>F8</f>
        <v>0</v>
      </c>
      <c r="E20" s="520">
        <f>IF('[2]Jog'!O25="","",'[2]Jog'!O25)</f>
        <v>0.3</v>
      </c>
      <c r="F20" s="521" t="str">
        <f>IF('[2]Jog'!J25="","",'[2]Jog'!J25)</f>
        <v>/ Stk.</v>
      </c>
      <c r="G20" s="522"/>
      <c r="H20" s="523"/>
      <c r="I20" s="505"/>
      <c r="J20" s="465"/>
      <c r="K20" s="466"/>
    </row>
    <row r="21" spans="1:11" ht="12" customHeight="1" thickBot="1">
      <c r="A21" s="500"/>
      <c r="B21" s="510" t="str">
        <f>IF('[2]Jog'!B27="","",'[2]Jog'!B27)</f>
        <v>Deckel</v>
      </c>
      <c r="C21" s="510"/>
      <c r="D21" s="533">
        <f>F8</f>
        <v>0</v>
      </c>
      <c r="E21" s="520">
        <f>IF('[2]Jog'!O27="","",'[2]Jog'!O27)</f>
        <v>0.06</v>
      </c>
      <c r="F21" s="521" t="str">
        <f>IF('[2]Jog'!J27="","",'[2]Jog'!J27)</f>
        <v>/ Stk.</v>
      </c>
      <c r="G21" s="522"/>
      <c r="H21" s="523"/>
      <c r="I21" s="505"/>
      <c r="J21" s="465"/>
      <c r="K21" s="466"/>
    </row>
    <row r="22" spans="1:11" ht="12" customHeight="1" thickBot="1">
      <c r="A22" s="500"/>
      <c r="B22" s="510" t="str">
        <f>IF('[2]Jog'!B29="","",'[2]Jog'!B29)</f>
        <v>Jogurtkultur</v>
      </c>
      <c r="C22" s="510"/>
      <c r="D22" s="534">
        <f>IF('[2]Jog'!N29="","",'[2]Jog'!N29)</f>
        <v>5</v>
      </c>
      <c r="E22" s="520">
        <f>IF('[2]Jog'!O29="","",'[2]Jog'!O29)</f>
        <v>0.6</v>
      </c>
      <c r="F22" s="521" t="str">
        <f>IF('[2]Jog'!J29="","",'[2]Jog'!J29)</f>
        <v>/ Kaffeelöffel</v>
      </c>
      <c r="G22" s="522"/>
      <c r="H22" s="523"/>
      <c r="I22" s="505"/>
      <c r="J22" s="462"/>
      <c r="K22" s="475"/>
    </row>
    <row r="23" spans="1:11" ht="12" customHeight="1" thickBot="1">
      <c r="A23" s="500"/>
      <c r="B23" s="510" t="str">
        <f>IF('[2]Jog'!B31="","",'[2]Jog'!B31)</f>
        <v>Geschmackszutaten: Marille </v>
      </c>
      <c r="C23" s="510"/>
      <c r="D23" s="535">
        <f>IF('[2]Jog'!N31="","",'[2]Jog'!N31)</f>
        <v>1.6</v>
      </c>
      <c r="E23" s="520">
        <f>IF('[2]Jog'!O31="","",'[2]Jog'!O31)</f>
        <v>19</v>
      </c>
      <c r="F23" s="521" t="str">
        <f>IF('[2]Jog'!J31="","",'[2]Jog'!J31)</f>
        <v>/ kg</v>
      </c>
      <c r="G23" s="522"/>
      <c r="H23" s="523"/>
      <c r="I23" s="505"/>
      <c r="J23" s="465"/>
      <c r="K23" s="466"/>
    </row>
    <row r="24" spans="1:11" ht="12" customHeight="1" thickBot="1">
      <c r="A24" s="500"/>
      <c r="B24" s="510" t="str">
        <f>IF('[2]Jog'!B33="","",'[2]Jog'!B33)</f>
        <v>Zucker</v>
      </c>
      <c r="C24" s="510"/>
      <c r="D24" s="535">
        <f>IF('[2]Jog'!N33="","",'[2]Jog'!N33)</f>
        <v>0.5</v>
      </c>
      <c r="E24" s="520">
        <f>IF('[2]Jog'!O33="","",'[2]Jog'!O33)</f>
        <v>1</v>
      </c>
      <c r="F24" s="521" t="str">
        <f>IF('[2]Jog'!J33="","",'[2]Jog'!J33)</f>
        <v>/ kg</v>
      </c>
      <c r="G24" s="522"/>
      <c r="H24" s="523"/>
      <c r="I24" s="505"/>
      <c r="J24" s="465"/>
      <c r="K24" s="466"/>
    </row>
    <row r="25" spans="1:11" ht="12" customHeight="1" thickBot="1">
      <c r="A25" s="500"/>
      <c r="B25" s="510" t="str">
        <f>IF('[2]Jog'!B35="","",'[2]Jog'!B35)</f>
        <v>Strom</v>
      </c>
      <c r="C25" s="510"/>
      <c r="D25" s="536">
        <f>IF('[2]Jog'!N35="","",'[2]Jog'!N35)</f>
        <v>48</v>
      </c>
      <c r="E25" s="520">
        <f>IF('[2]Jog'!O35="","",'[2]Jog'!O35)</f>
        <v>0.15</v>
      </c>
      <c r="F25" s="521" t="str">
        <f>IF('[2]Jog'!J35="","",'[2]Jog'!J35)</f>
        <v>/ KWh</v>
      </c>
      <c r="G25" s="522"/>
      <c r="H25" s="523"/>
      <c r="I25" s="505"/>
      <c r="J25" s="465"/>
      <c r="K25" s="466"/>
    </row>
    <row r="26" spans="1:11" ht="12" customHeight="1" thickBot="1">
      <c r="A26" s="500"/>
      <c r="B26" s="510" t="str">
        <f>IF('[2]Jog'!B37="","",'[2]Jog'!B37)</f>
        <v>Wasser (inkl. Abwasser)</v>
      </c>
      <c r="C26" s="510"/>
      <c r="D26" s="537">
        <f>IF('[2]Jog'!N37="","",'[2]Jog'!N37)</f>
        <v>3</v>
      </c>
      <c r="E26" s="520">
        <f>IF('[2]Jog'!O37="","",'[2]Jog'!O37)</f>
        <v>1.8</v>
      </c>
      <c r="F26" s="521" t="str">
        <f>IF('[2]Jog'!J37="","",'[2]Jog'!J37)</f>
        <v>/ m³</v>
      </c>
      <c r="G26" s="522"/>
      <c r="H26" s="523"/>
      <c r="I26" s="505"/>
      <c r="J26" s="465"/>
      <c r="K26" s="495"/>
    </row>
    <row r="27" spans="1:11" ht="12" customHeight="1">
      <c r="A27" s="500"/>
      <c r="B27" s="510">
        <f>IF('[2]Jog'!B39="","",'[2]Jog'!B39)</f>
      </c>
      <c r="C27" s="510"/>
      <c r="D27" s="535">
        <f>IF('[2]Jog'!N39="","",'[2]Jog'!N39)</f>
      </c>
      <c r="E27" s="520">
        <f>IF('[2]Jog'!O39="","",'[2]Jog'!O39)</f>
      </c>
      <c r="F27" s="538">
        <f>IF('[2]Jog'!J39="","",'[2]Jog'!J39)</f>
      </c>
      <c r="G27" s="763"/>
      <c r="H27" s="523"/>
      <c r="I27" s="505"/>
      <c r="J27" s="497"/>
      <c r="K27" s="495"/>
    </row>
    <row r="28" spans="1:11" ht="12" customHeight="1" thickBot="1">
      <c r="A28" s="500"/>
      <c r="B28" s="510">
        <f>IF('[2]Jog'!B41="","",'[2]Jog'!B41)</f>
      </c>
      <c r="C28" s="510"/>
      <c r="D28" s="533">
        <f>IF('[2]Jog'!N41="","",'[2]Jog'!N41)</f>
      </c>
      <c r="E28" s="520">
        <f>IF('[2]Jog'!O41="","",'[2]Jog'!O41)</f>
      </c>
      <c r="F28" s="538">
        <f>IF('[2]Jog'!J41="","",'[2]Jog'!J41)</f>
      </c>
      <c r="G28" s="764"/>
      <c r="H28" s="523"/>
      <c r="I28" s="505"/>
      <c r="J28" s="497"/>
      <c r="K28" s="765"/>
    </row>
    <row r="29" spans="1:11" ht="12" customHeight="1" thickBot="1">
      <c r="A29" s="500"/>
      <c r="B29" s="524" t="s">
        <v>426</v>
      </c>
      <c r="C29" s="524"/>
      <c r="D29" s="525"/>
      <c r="E29" s="526"/>
      <c r="F29" s="526"/>
      <c r="G29" s="527"/>
      <c r="H29" s="527"/>
      <c r="I29" s="505"/>
      <c r="J29" s="497"/>
      <c r="K29" s="765"/>
    </row>
    <row r="30" spans="1:11" ht="3" customHeight="1">
      <c r="A30" s="500"/>
      <c r="B30" s="528"/>
      <c r="C30" s="528"/>
      <c r="D30" s="529"/>
      <c r="E30" s="530"/>
      <c r="F30" s="530"/>
      <c r="G30" s="530"/>
      <c r="H30" s="530"/>
      <c r="I30" s="505"/>
      <c r="J30" s="497"/>
      <c r="K30" s="765"/>
    </row>
    <row r="31" spans="1:11" ht="12" customHeight="1">
      <c r="A31" s="500"/>
      <c r="B31" s="516" t="s">
        <v>427</v>
      </c>
      <c r="C31" s="516"/>
      <c r="D31" s="518"/>
      <c r="E31" s="531" t="s">
        <v>428</v>
      </c>
      <c r="F31" s="532" t="s">
        <v>423</v>
      </c>
      <c r="G31" s="518" t="s">
        <v>424</v>
      </c>
      <c r="H31" s="518" t="s">
        <v>425</v>
      </c>
      <c r="I31" s="500"/>
      <c r="J31" s="497"/>
      <c r="K31" s="765"/>
    </row>
    <row r="32" spans="1:11" ht="12" customHeight="1" thickBot="1">
      <c r="A32" s="500"/>
      <c r="B32" s="510" t="str">
        <f>IF('[2]Jog'!B44="","",'[2]Jog'!B44)</f>
        <v>Arbeitszeitbedarf für Herstellung und Abfüllung</v>
      </c>
      <c r="C32" s="510"/>
      <c r="D32" s="539"/>
      <c r="E32" s="540">
        <f>IF('[2]Jog'!N44="","",'[2]Jog'!N44)</f>
        <v>16</v>
      </c>
      <c r="F32" s="889">
        <f>IF('[2]Jog'!O44="","",'[2]Jog'!O44)</f>
        <v>100</v>
      </c>
      <c r="G32" s="541"/>
      <c r="H32" s="541"/>
      <c r="I32" s="500"/>
      <c r="J32" s="497"/>
      <c r="K32" s="765"/>
    </row>
    <row r="33" spans="1:11" ht="12" customHeight="1" thickBot="1">
      <c r="A33" s="500"/>
      <c r="B33" s="510" t="str">
        <f>IF('[2]Jog'!B46="","",'[2]Jog'!B46)</f>
        <v>Lohnansatz</v>
      </c>
      <c r="C33" s="510"/>
      <c r="D33" s="542"/>
      <c r="E33" s="543">
        <f>IF('[2]Jog'!N46="","",'[2]Jog'!N46)</f>
        <v>7.5</v>
      </c>
      <c r="F33" s="544" t="str">
        <f>IF('[2]Jog'!O46="","",'[2]Jog'!O46)</f>
        <v>je Akh</v>
      </c>
      <c r="G33" s="545"/>
      <c r="H33" s="523"/>
      <c r="I33" s="500"/>
      <c r="J33" s="497"/>
      <c r="K33" s="765"/>
    </row>
    <row r="34" spans="1:11" ht="12" customHeight="1">
      <c r="A34" s="500"/>
      <c r="B34" s="524" t="s">
        <v>429</v>
      </c>
      <c r="C34" s="524"/>
      <c r="D34" s="525"/>
      <c r="E34" s="526"/>
      <c r="F34" s="526"/>
      <c r="G34" s="766" t="str">
        <f>IF(G33="","noch leer",SUM(G33))</f>
        <v>noch leer</v>
      </c>
      <c r="H34" s="767" t="str">
        <f>IF(OR(G34="",$F$8="",G34="noch leer",$F$8="noch leer"),"noch leer",G34/$F$8)</f>
        <v>noch leer</v>
      </c>
      <c r="I34" s="500"/>
      <c r="J34" s="497"/>
      <c r="K34" s="765"/>
    </row>
    <row r="35" spans="1:11" ht="3" customHeight="1">
      <c r="A35" s="500"/>
      <c r="B35" s="528"/>
      <c r="C35" s="528"/>
      <c r="D35" s="529"/>
      <c r="E35" s="530"/>
      <c r="F35" s="530"/>
      <c r="G35" s="530"/>
      <c r="H35" s="530"/>
      <c r="I35" s="505"/>
      <c r="J35" s="497"/>
      <c r="K35" s="765"/>
    </row>
    <row r="36" spans="1:11" ht="12" customHeight="1">
      <c r="A36" s="500"/>
      <c r="B36" s="516" t="s">
        <v>64</v>
      </c>
      <c r="C36" s="516"/>
      <c r="D36" s="518"/>
      <c r="E36" s="531" t="s">
        <v>422</v>
      </c>
      <c r="F36" s="532" t="s">
        <v>423</v>
      </c>
      <c r="G36" s="518" t="s">
        <v>424</v>
      </c>
      <c r="H36" s="518" t="s">
        <v>425</v>
      </c>
      <c r="I36" s="500"/>
      <c r="J36" s="497"/>
      <c r="K36" s="765"/>
    </row>
    <row r="37" spans="1:11" ht="12" customHeight="1">
      <c r="A37" s="505"/>
      <c r="B37" s="546" t="str">
        <f>IF('[2]Jog'!B49="","",'[2]Jog'!B49)</f>
        <v>Pasteur</v>
      </c>
      <c r="C37" s="546"/>
      <c r="D37" s="546"/>
      <c r="E37" s="520">
        <f>IF('[2]Jog'!N49="","",'[2]Jog'!N49)</f>
        <v>820</v>
      </c>
      <c r="F37" s="547" t="str">
        <f>IF('[2]Jog'!O49="","",'[2]Jog'!O49)</f>
        <v>/Jahr</v>
      </c>
      <c r="G37" s="764">
        <f>E37/52</f>
        <v>15.76923076923077</v>
      </c>
      <c r="H37" s="523"/>
      <c r="I37" s="505"/>
      <c r="J37" s="497"/>
      <c r="K37" s="765"/>
    </row>
    <row r="38" spans="1:11" ht="12" customHeight="1">
      <c r="A38" s="505"/>
      <c r="B38" s="546" t="str">
        <f>IF('[2]Jog'!B51="","",'[2]Jog'!B51)</f>
        <v>Kühlschrank</v>
      </c>
      <c r="C38" s="546"/>
      <c r="D38" s="546"/>
      <c r="E38" s="520">
        <f>IF('[2]Jog'!N51="","",'[2]Jog'!N51)</f>
        <v>240</v>
      </c>
      <c r="F38" s="547" t="str">
        <f>IF('[2]Jog'!O51="","",'[2]Jog'!O51)</f>
        <v>/Jahr</v>
      </c>
      <c r="G38" s="764">
        <f>E38/52</f>
        <v>4.615384615384615</v>
      </c>
      <c r="H38" s="523"/>
      <c r="I38" s="505"/>
      <c r="J38" s="497"/>
      <c r="K38" s="765"/>
    </row>
    <row r="39" spans="1:11" ht="12" customHeight="1">
      <c r="A39" s="505"/>
      <c r="B39" s="546" t="str">
        <f>IF('[2]Jog'!B53="","",'[2]Jog'!B53)</f>
        <v>Geschirrspüler</v>
      </c>
      <c r="C39" s="546"/>
      <c r="D39" s="546"/>
      <c r="E39" s="520">
        <f>IF('[2]Jog'!N53="","",'[2]Jog'!N53)</f>
        <v>290</v>
      </c>
      <c r="F39" s="547" t="str">
        <f>IF('[2]Jog'!O53="","",'[2]Jog'!O53)</f>
        <v>/Jahr</v>
      </c>
      <c r="G39" s="764">
        <f>E39/52</f>
        <v>5.576923076923077</v>
      </c>
      <c r="H39" s="523"/>
      <c r="I39" s="505"/>
      <c r="J39" s="497"/>
      <c r="K39" s="765"/>
    </row>
    <row r="40" spans="1:11" ht="12" customHeight="1" thickBot="1">
      <c r="A40" s="500"/>
      <c r="B40" s="524" t="s">
        <v>430</v>
      </c>
      <c r="C40" s="524"/>
      <c r="D40" s="525"/>
      <c r="E40" s="526"/>
      <c r="F40" s="526"/>
      <c r="G40" s="900">
        <f>SUM(G37:G39)</f>
        <v>25.961538461538463</v>
      </c>
      <c r="H40" s="767" t="str">
        <f>IF(OR(G40="",$F$8=""),"noch leer",G40/$F$8)</f>
        <v>noch leer</v>
      </c>
      <c r="I40" s="500"/>
      <c r="J40" s="497"/>
      <c r="K40" s="765"/>
    </row>
    <row r="41" spans="1:11" ht="12" customHeight="1" thickBot="1">
      <c r="A41" s="548"/>
      <c r="B41" s="549" t="s">
        <v>431</v>
      </c>
      <c r="C41" s="549"/>
      <c r="D41" s="549"/>
      <c r="E41" s="549"/>
      <c r="F41" s="549"/>
      <c r="G41" s="550"/>
      <c r="H41" s="770" t="str">
        <f>IF(OR(G41="",$F$8=""),"noch leer",G41/$F$8)</f>
        <v>noch leer</v>
      </c>
      <c r="I41" s="548"/>
      <c r="J41" s="497"/>
      <c r="K41" s="765"/>
    </row>
    <row r="42" spans="1:11" ht="9.75" customHeight="1">
      <c r="A42" s="548"/>
      <c r="B42" s="528"/>
      <c r="C42" s="528"/>
      <c r="D42" s="528"/>
      <c r="E42" s="528"/>
      <c r="F42" s="528"/>
      <c r="G42" s="551"/>
      <c r="H42" s="551"/>
      <c r="I42" s="548"/>
      <c r="J42" s="497"/>
      <c r="K42" s="765"/>
    </row>
    <row r="43" spans="1:11" ht="12" customHeight="1">
      <c r="A43" s="500"/>
      <c r="B43" s="501" t="s">
        <v>432</v>
      </c>
      <c r="C43" s="507"/>
      <c r="D43" s="507"/>
      <c r="E43" s="507"/>
      <c r="F43" s="507"/>
      <c r="G43" s="518" t="s">
        <v>424</v>
      </c>
      <c r="H43" s="518" t="s">
        <v>425</v>
      </c>
      <c r="I43" s="500"/>
      <c r="J43" s="497"/>
      <c r="K43" s="765"/>
    </row>
    <row r="44" spans="1:11" ht="12" customHeight="1">
      <c r="A44" s="505"/>
      <c r="B44" s="546" t="str">
        <f>IF('[2]Jog'!B56="","",'[2]Jog'!B56)</f>
        <v>Gemein- und Vermarktungskostenzuschlag</v>
      </c>
      <c r="C44" s="546"/>
      <c r="D44" s="546"/>
      <c r="E44" s="552">
        <f>IF('[2]Jog'!N56="","",'[2]Jog'!N56)</f>
        <v>0.02</v>
      </c>
      <c r="F44" s="553" t="str">
        <f>IF('[2]Jog'!O56="","",'[2]Jog'!O56)</f>
        <v>der Herstellungskosten</v>
      </c>
      <c r="G44" s="763" t="str">
        <f>IF(OR(G41="",E44=""),"noch leer",G41*E44)</f>
        <v>noch leer</v>
      </c>
      <c r="H44" s="523"/>
      <c r="I44" s="505"/>
      <c r="J44" s="497"/>
      <c r="K44" s="765"/>
    </row>
    <row r="45" spans="1:11" ht="12" customHeight="1">
      <c r="A45" s="548"/>
      <c r="B45" s="549" t="s">
        <v>433</v>
      </c>
      <c r="C45" s="549"/>
      <c r="D45" s="549"/>
      <c r="E45" s="549"/>
      <c r="F45" s="549"/>
      <c r="G45" s="768" t="str">
        <f>IF(OR(G41="",G44="noch leer"),"noch leer",SUM(G41,G44))</f>
        <v>noch leer</v>
      </c>
      <c r="H45" s="769" t="str">
        <f>IF(OR(G45="",G45="noch leer",$F$8=""),"noch leer",G45/$F$8)</f>
        <v>noch leer</v>
      </c>
      <c r="I45" s="548"/>
      <c r="J45" s="497"/>
      <c r="K45" s="765"/>
    </row>
    <row r="46" spans="1:11" ht="12" customHeight="1" thickBot="1">
      <c r="A46" s="505"/>
      <c r="B46" s="546" t="str">
        <f>IF('[2]Jog'!B58="","",'[2]Jog'!B58)</f>
        <v>Gewinn- und Risikozuschlag</v>
      </c>
      <c r="C46" s="546"/>
      <c r="D46" s="546"/>
      <c r="E46" s="552">
        <f>IF('[2]Jog'!N58="","",'[2]Jog'!N58)</f>
        <v>0.03</v>
      </c>
      <c r="F46" s="554" t="str">
        <f>IF('[2]Jog'!O58="","",'[2]Jog'!O58)</f>
        <v>der Vollkosten</v>
      </c>
      <c r="G46" s="763" t="str">
        <f>IF(OR(G45="noch leer",E46=""),"noch leer",G45*E46)</f>
        <v>noch leer</v>
      </c>
      <c r="H46" s="851" t="e">
        <f>G46/F8</f>
        <v>#VALUE!</v>
      </c>
      <c r="I46" s="505"/>
      <c r="J46" s="497"/>
      <c r="K46" s="765"/>
    </row>
    <row r="47" spans="1:11" ht="12" customHeight="1" thickBot="1">
      <c r="A47" s="548"/>
      <c r="B47" s="555" t="s">
        <v>434</v>
      </c>
      <c r="C47" s="555"/>
      <c r="D47" s="555"/>
      <c r="E47" s="555"/>
      <c r="F47" s="555"/>
      <c r="G47" s="772" t="str">
        <f>IF(OR(G45="noch leer",G46="noch leer"),"noch leer",SUM(G45:G46))</f>
        <v>noch leer</v>
      </c>
      <c r="H47" s="556"/>
      <c r="I47" s="548"/>
      <c r="J47" s="497"/>
      <c r="K47" s="765"/>
    </row>
    <row r="48" spans="10:11" ht="15">
      <c r="J48" s="497"/>
      <c r="K48" s="765"/>
    </row>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sheetData>
  <sheetProtection sheet="1" objects="1" scenarios="1"/>
  <mergeCells count="11">
    <mergeCell ref="G14:G15"/>
    <mergeCell ref="K1:K4"/>
    <mergeCell ref="H14:H15"/>
    <mergeCell ref="F5:G5"/>
    <mergeCell ref="E14:F15"/>
    <mergeCell ref="F7:G7"/>
    <mergeCell ref="F8:G8"/>
    <mergeCell ref="F9:G9"/>
    <mergeCell ref="F10:G10"/>
    <mergeCell ref="C10:E10"/>
    <mergeCell ref="D14:D15"/>
  </mergeCells>
  <conditionalFormatting sqref="E46 E44 D16:F16 D20:F26 E32:F33 E37:F39 H6 H9 F7:G7">
    <cfRule type="cellIs" priority="1" dxfId="52" operator="equal" stopIfTrue="1">
      <formula>""</formula>
    </cfRule>
  </conditionalFormatting>
  <conditionalFormatting sqref="D3:E3">
    <cfRule type="expression" priority="2" dxfId="52" stopIfTrue="1">
      <formula>#REF!=""</formula>
    </cfRule>
  </conditionalFormatting>
  <conditionalFormatting sqref="B10">
    <cfRule type="cellIs" priority="3" dxfId="43" operator="equal" stopIfTrue="1">
      <formula>"Berechnung fehlt!"</formula>
    </cfRule>
    <cfRule type="expression" priority="4" dxfId="44" stopIfTrue="1">
      <formula>$C$10="ACHTUNG: Der tatsächliche Gewinn liegt unter dem Gewinnzuschlag!!!"</formula>
    </cfRule>
    <cfRule type="cellIs" priority="5" dxfId="45" operator="equal" stopIfTrue="1">
      <formula>"Verlust!"</formula>
    </cfRule>
  </conditionalFormatting>
  <conditionalFormatting sqref="F10:H10">
    <cfRule type="cellIs" priority="6" dxfId="45" operator="lessThan" stopIfTrue="1">
      <formula>0</formula>
    </cfRule>
    <cfRule type="expression" priority="7" dxfId="44" stopIfTrue="1">
      <formula>$C$10="ACHTUNG: Der tatsächliche Gewinn liegt unter dem Gewinnzuschlag!!!"</formula>
    </cfRule>
    <cfRule type="cellIs" priority="8" dxfId="1" operator="equal" stopIfTrue="1">
      <formula>"noch leer"</formula>
    </cfRule>
  </conditionalFormatting>
  <conditionalFormatting sqref="C10:E10">
    <cfRule type="cellIs" priority="9" dxfId="45" operator="equal" stopIfTrue="1">
      <formula>"ACHTUNG: Der Preis deckt die Kosten nicht ab!!!"</formula>
    </cfRule>
    <cfRule type="expression" priority="10" dxfId="44" stopIfTrue="1">
      <formula>$C$10="ACHTUNG: Der tatsächliche Gewinn liegt unter dem Gewinnzuschlag!!!"</formula>
    </cfRule>
    <cfRule type="cellIs" priority="11" dxfId="43" operator="equal" stopIfTrue="1">
      <formula>"Gewinn/Verlust?"</formula>
    </cfRule>
  </conditionalFormatting>
  <conditionalFormatting sqref="H45 G17 H40:H41 G34:H34 G44:G47">
    <cfRule type="cellIs" priority="12" dxfId="1" operator="equal" stopIfTrue="1">
      <formula>"noch leer"</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drawing r:id="rId3"/>
  <legacyDrawing r:id="rId2"/>
</worksheet>
</file>

<file path=xl/worksheets/sheet12.xml><?xml version="1.0" encoding="utf-8"?>
<worksheet xmlns="http://schemas.openxmlformats.org/spreadsheetml/2006/main" xmlns:r="http://schemas.openxmlformats.org/officeDocument/2006/relationships">
  <sheetPr>
    <tabColor indexed="10"/>
  </sheetPr>
  <dimension ref="A1:G19"/>
  <sheetViews>
    <sheetView showGridLines="0" zoomScalePageLayoutView="0" workbookViewId="0" topLeftCell="A1">
      <pane ySplit="3" topLeftCell="A4" activePane="bottomLeft" state="frozen"/>
      <selection pane="topLeft" activeCell="E12" sqref="E12:M18"/>
      <selection pane="bottomLeft" activeCell="D18" sqref="D18"/>
    </sheetView>
  </sheetViews>
  <sheetFormatPr defaultColWidth="0" defaultRowHeight="12.75" zeroHeight="1"/>
  <cols>
    <col min="1" max="1" width="2.7109375" style="1" customWidth="1"/>
    <col min="2" max="2" width="6.7109375" style="1" customWidth="1"/>
    <col min="3" max="3" width="60.7109375" style="1" customWidth="1"/>
    <col min="4" max="4" width="15.7109375" style="1" customWidth="1"/>
    <col min="5" max="5" width="2.7109375" style="1" customWidth="1"/>
    <col min="6" max="6" width="0.85546875" style="1" customWidth="1"/>
    <col min="7" max="7" width="20.7109375" style="1" customWidth="1"/>
    <col min="8" max="16384" width="0" style="1" hidden="1" customWidth="1"/>
  </cols>
  <sheetData>
    <row r="1" spans="1:7" ht="24.75" customHeight="1">
      <c r="A1" s="179"/>
      <c r="B1" s="180" t="str">
        <f>"Fixkosten für das Jahr "&amp;IF('[2]Allg'!E12="","",'[2]Allg'!E12)</f>
        <v>Fixkosten für das Jahr 2007</v>
      </c>
      <c r="C1" s="557"/>
      <c r="D1" s="558"/>
      <c r="E1" s="559"/>
      <c r="F1" s="459"/>
      <c r="G1" s="1163" t="s">
        <v>100</v>
      </c>
    </row>
    <row r="2" spans="1:7" ht="39.75" customHeight="1">
      <c r="A2" s="220"/>
      <c r="B2" s="220"/>
      <c r="D2" s="220"/>
      <c r="E2" s="220"/>
      <c r="F2" s="462"/>
      <c r="G2" s="1163"/>
    </row>
    <row r="3" spans="1:7" ht="21.75" customHeight="1">
      <c r="A3" s="220"/>
      <c r="B3" s="194" t="s">
        <v>435</v>
      </c>
      <c r="C3" s="194"/>
      <c r="D3" s="182" t="s">
        <v>436</v>
      </c>
      <c r="E3" s="220"/>
      <c r="F3" s="465"/>
      <c r="G3" s="1163"/>
    </row>
    <row r="4" spans="1:7" ht="21.75" customHeight="1">
      <c r="A4" s="220"/>
      <c r="B4" s="214">
        <v>1</v>
      </c>
      <c r="C4" s="183" t="str">
        <f>IF('[2]FK'!C12="","",'[2]FK'!C12)</f>
        <v>Betriebsversicherungen</v>
      </c>
      <c r="D4" s="560">
        <f>IF('[2]FK'!N12="","",-'[2]FK'!N12)</f>
        <v>-320</v>
      </c>
      <c r="E4" s="561"/>
      <c r="F4" s="465"/>
      <c r="G4" s="466"/>
    </row>
    <row r="5" spans="1:7" ht="21.75" customHeight="1">
      <c r="A5" s="220"/>
      <c r="B5" s="214">
        <v>2</v>
      </c>
      <c r="C5" s="183" t="str">
        <f>IF('[2]FK'!C14="","",'[2]FK'!C14)</f>
        <v>Betriebssteuern und -abgaben</v>
      </c>
      <c r="D5" s="560">
        <f>IF('[2]FK'!N14="","",-'[2]FK'!N14)</f>
        <v>-298</v>
      </c>
      <c r="E5" s="561"/>
      <c r="F5" s="465"/>
      <c r="G5" s="466"/>
    </row>
    <row r="6" spans="1:7" ht="21.75" customHeight="1">
      <c r="A6" s="220"/>
      <c r="B6" s="214">
        <v>3</v>
      </c>
      <c r="C6" s="183" t="str">
        <f>IF('[2]FK'!C15="","",'[2]FK'!C15)</f>
        <v>Abschreibung</v>
      </c>
      <c r="D6" s="562">
        <f>IF('[2]FK'!N15="","",-'[2]FK'!N15)</f>
      </c>
      <c r="E6" s="561"/>
      <c r="F6" s="465"/>
      <c r="G6" s="466"/>
    </row>
    <row r="7" spans="1:7" ht="21.75" customHeight="1">
      <c r="A7" s="220"/>
      <c r="B7" s="214"/>
      <c r="C7" s="183" t="str">
        <f>IF('[2]FK'!C16="","",'[2]FK'!C16)</f>
        <v>              Grundverbesserungen</v>
      </c>
      <c r="D7" s="563" t="str">
        <f>IF('AV'!I9="","noch leer",-'AV'!I9)</f>
        <v>noch leer</v>
      </c>
      <c r="E7" s="561"/>
      <c r="F7" s="465"/>
      <c r="G7" s="466"/>
    </row>
    <row r="8" spans="1:7" ht="21.75" customHeight="1">
      <c r="A8" s="220"/>
      <c r="B8" s="214"/>
      <c r="C8" s="183" t="str">
        <f>IF('[2]FK'!C17="","",'[2]FK'!C17)</f>
        <v>              Betriebs- und Geschäftsausstattung</v>
      </c>
      <c r="D8" s="563"/>
      <c r="E8" s="561"/>
      <c r="F8" s="465"/>
      <c r="G8" s="466"/>
    </row>
    <row r="9" spans="1:7" ht="21.75" customHeight="1">
      <c r="A9" s="220"/>
      <c r="B9" s="214"/>
      <c r="C9" s="183" t="str">
        <f>IF('[2]FK'!C19="","",'[2]FK'!C19)</f>
        <v>              Gebäude</v>
      </c>
      <c r="D9" s="563" t="str">
        <f>IF('AV'!I19="","noch leer",-'AV'!I19)</f>
        <v>noch leer</v>
      </c>
      <c r="E9" s="561"/>
      <c r="F9" s="465"/>
      <c r="G9" s="466"/>
    </row>
    <row r="10" spans="1:7" ht="21.75" customHeight="1">
      <c r="A10" s="220"/>
      <c r="B10" s="214"/>
      <c r="C10" s="183" t="str">
        <f>IF('[2]FK'!C18="","",'[2]FK'!C18)</f>
        <v>              Maschinen</v>
      </c>
      <c r="D10" s="563" t="str">
        <f>IF('AV'!I41="","noch leer",-'AV'!I41)</f>
        <v>noch leer</v>
      </c>
      <c r="E10" s="561"/>
      <c r="F10" s="462"/>
      <c r="G10" s="475"/>
    </row>
    <row r="11" spans="1:7" ht="21.75" customHeight="1">
      <c r="A11" s="220"/>
      <c r="B11" s="214">
        <v>4</v>
      </c>
      <c r="C11" s="183" t="str">
        <f>IF('[2]FK'!C20="","",'[2]FK'!C20)</f>
        <v>Gebäudereparaturen</v>
      </c>
      <c r="D11" s="560">
        <f>IF('[2]FK'!N20="","",-'[2]FK'!N20)</f>
        <v>-600</v>
      </c>
      <c r="E11" s="561"/>
      <c r="F11" s="465"/>
      <c r="G11" s="466"/>
    </row>
    <row r="12" spans="1:7" ht="21.75" customHeight="1">
      <c r="A12" s="220"/>
      <c r="B12" s="214">
        <v>5</v>
      </c>
      <c r="C12" s="183" t="str">
        <f>IF('[2]FK'!C22="","",'[2]FK'!C22)</f>
        <v>Pachtzinse</v>
      </c>
      <c r="D12" s="560">
        <f>IF('[2]FK'!N22="","",-'[2]FK'!N22)</f>
        <v>-450</v>
      </c>
      <c r="E12" s="561"/>
      <c r="F12" s="465"/>
      <c r="G12" s="466"/>
    </row>
    <row r="13" spans="1:7" ht="21.75" customHeight="1">
      <c r="A13" s="220"/>
      <c r="B13" s="214">
        <v>6</v>
      </c>
      <c r="C13" s="183" t="str">
        <f>IF('[2]FK'!C24="","",'[2]FK'!C24)</f>
        <v>Schuldzinse</v>
      </c>
      <c r="D13" s="560">
        <f>IF('[2]FK'!N24="","",-'[2]FK'!N24)</f>
      </c>
      <c r="E13" s="561"/>
      <c r="F13" s="482"/>
      <c r="G13" s="466"/>
    </row>
    <row r="14" spans="1:7" ht="21.75" customHeight="1">
      <c r="A14" s="220"/>
      <c r="B14" s="214">
        <v>7</v>
      </c>
      <c r="C14" s="183" t="str">
        <f>IF('[2]FK'!C26="","",'[2]FK'!C26)</f>
        <v>Ausgedingelasten</v>
      </c>
      <c r="D14" s="560">
        <f>IF('[2]FK'!N26="","",-'[2]FK'!N26)</f>
      </c>
      <c r="E14" s="561"/>
      <c r="F14" s="482"/>
      <c r="G14" s="466"/>
    </row>
    <row r="15" spans="1:7" ht="21.75" customHeight="1">
      <c r="A15" s="220"/>
      <c r="B15" s="214">
        <v>8</v>
      </c>
      <c r="C15" s="183" t="str">
        <f>IF('[2]FK'!C28="","",'[2]FK'!C28)</f>
        <v>Vewaltungskosten</v>
      </c>
      <c r="D15" s="560">
        <f>IF('[2]FK'!N28="","",-'[2]FK'!N28)</f>
      </c>
      <c r="E15" s="561"/>
      <c r="F15" s="482"/>
      <c r="G15" s="466"/>
    </row>
    <row r="16" spans="1:7" ht="21.75" customHeight="1">
      <c r="A16" s="220"/>
      <c r="B16" s="214">
        <v>9</v>
      </c>
      <c r="C16" s="183">
        <f>IF('[2]FK'!C30="","",'[2]FK'!C30)</f>
      </c>
      <c r="D16" s="564">
        <f>IF('[2]FK'!N30="","",-'[2]FK'!N30)</f>
      </c>
      <c r="E16" s="561"/>
      <c r="F16" s="465"/>
      <c r="G16" s="466"/>
    </row>
    <row r="17" spans="1:7" ht="21.75" customHeight="1" thickBot="1">
      <c r="A17" s="220"/>
      <c r="B17" s="214">
        <v>10</v>
      </c>
      <c r="C17" s="183">
        <f>IF('[2]FK'!C32="","",'[2]FK'!C32)</f>
      </c>
      <c r="D17" s="564">
        <f>IF('[2]FK'!N32="","",-'[2]FK'!N32)</f>
      </c>
      <c r="E17" s="561"/>
      <c r="F17" s="462"/>
      <c r="G17" s="475"/>
    </row>
    <row r="18" spans="1:7" ht="21.75" customHeight="1" thickBot="1">
      <c r="A18" s="220"/>
      <c r="B18" s="565" t="s">
        <v>430</v>
      </c>
      <c r="C18" s="565"/>
      <c r="D18" s="566"/>
      <c r="E18" s="561"/>
      <c r="F18" s="465"/>
      <c r="G18" s="466"/>
    </row>
    <row r="19" spans="6:7" ht="12.75">
      <c r="F19" s="708"/>
      <c r="G19" s="774"/>
    </row>
  </sheetData>
  <sheetProtection sheet="1" objects="1" scenarios="1"/>
  <mergeCells count="1">
    <mergeCell ref="G1:G3"/>
  </mergeCells>
  <conditionalFormatting sqref="D4:D5 D9:D12 D7">
    <cfRule type="cellIs" priority="1" dxfId="41" operator="equal" stopIfTrue="1">
      <formula>""</formula>
    </cfRule>
    <cfRule type="cellIs" priority="2" dxfId="1" operator="equal" stopIfTrue="1">
      <formula>"noch leer"</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drawing r:id="rId3"/>
  <legacyDrawing r:id="rId2"/>
</worksheet>
</file>

<file path=xl/worksheets/sheet13.xml><?xml version="1.0" encoding="utf-8"?>
<worksheet xmlns="http://schemas.openxmlformats.org/spreadsheetml/2006/main" xmlns:r="http://schemas.openxmlformats.org/officeDocument/2006/relationships">
  <sheetPr>
    <tabColor indexed="10"/>
  </sheetPr>
  <dimension ref="A1:M60"/>
  <sheetViews>
    <sheetView showGridLines="0" zoomScalePageLayoutView="0" workbookViewId="0" topLeftCell="A1">
      <pane ySplit="4" topLeftCell="A5" activePane="bottomLeft" state="frozen"/>
      <selection pane="topLeft" activeCell="E12" sqref="E12:M18"/>
      <selection pane="bottomLeft" activeCell="F7" sqref="F7"/>
    </sheetView>
  </sheetViews>
  <sheetFormatPr defaultColWidth="0" defaultRowHeight="0" customHeight="1" zeroHeight="1"/>
  <cols>
    <col min="1" max="1" width="2.7109375" style="233" customWidth="1"/>
    <col min="2" max="2" width="14.7109375" style="582" customWidth="1"/>
    <col min="3" max="3" width="2.7109375" style="582" customWidth="1"/>
    <col min="4" max="4" width="5.7109375" style="233" customWidth="1"/>
    <col min="5" max="6" width="10.7109375" style="284" customWidth="1"/>
    <col min="7" max="7" width="6.7109375" style="233" customWidth="1"/>
    <col min="8" max="10" width="10.7109375" style="284" customWidth="1"/>
    <col min="11" max="11" width="2.7109375" style="233" customWidth="1"/>
    <col min="12" max="12" width="0.85546875" style="1" customWidth="1"/>
    <col min="13" max="13" width="20.7109375" style="1" customWidth="1"/>
    <col min="14" max="16384" width="11.421875" style="233" hidden="1" customWidth="1"/>
  </cols>
  <sheetData>
    <row r="1" spans="1:13" ht="24.75" customHeight="1">
      <c r="A1" s="179"/>
      <c r="B1" s="180" t="s">
        <v>437</v>
      </c>
      <c r="C1" s="180"/>
      <c r="D1" s="180"/>
      <c r="E1" s="180"/>
      <c r="F1" s="180"/>
      <c r="G1" s="180"/>
      <c r="H1" s="180"/>
      <c r="I1" s="180"/>
      <c r="J1" s="180"/>
      <c r="K1" s="180"/>
      <c r="L1" s="459"/>
      <c r="M1" s="1163" t="s">
        <v>100</v>
      </c>
    </row>
    <row r="2" spans="2:13" ht="30" customHeight="1">
      <c r="B2" s="567"/>
      <c r="C2" s="567"/>
      <c r="D2" s="568"/>
      <c r="E2" s="568"/>
      <c r="F2" s="568"/>
      <c r="G2" s="568"/>
      <c r="H2" s="568"/>
      <c r="I2" s="568"/>
      <c r="J2" s="568"/>
      <c r="L2" s="462"/>
      <c r="M2" s="1163"/>
    </row>
    <row r="3" spans="2:13" ht="13.5" customHeight="1">
      <c r="B3" s="288"/>
      <c r="C3" s="288"/>
      <c r="D3" s="1179" t="s">
        <v>438</v>
      </c>
      <c r="E3" s="1179"/>
      <c r="F3" s="569">
        <f>IF('[2]Allg'!E12="","",'[2]Allg'!E12)</f>
        <v>2007</v>
      </c>
      <c r="G3" s="1179" t="s">
        <v>439</v>
      </c>
      <c r="H3" s="1179"/>
      <c r="I3" s="569">
        <f>IF('[2]Allg'!E12="","",'[2]Allg'!E12)</f>
        <v>2007</v>
      </c>
      <c r="J3" s="1180" t="s">
        <v>440</v>
      </c>
      <c r="L3" s="465"/>
      <c r="M3" s="1163"/>
    </row>
    <row r="4" spans="2:13" ht="13.5" customHeight="1">
      <c r="B4" s="570" t="s">
        <v>441</v>
      </c>
      <c r="C4" s="570"/>
      <c r="D4" s="276" t="s">
        <v>276</v>
      </c>
      <c r="E4" s="283" t="s">
        <v>442</v>
      </c>
      <c r="F4" s="283" t="s">
        <v>269</v>
      </c>
      <c r="G4" s="276" t="s">
        <v>276</v>
      </c>
      <c r="H4" s="283" t="s">
        <v>442</v>
      </c>
      <c r="I4" s="283" t="s">
        <v>269</v>
      </c>
      <c r="J4" s="1180"/>
      <c r="L4" s="465"/>
      <c r="M4" s="1163"/>
    </row>
    <row r="5" spans="2:13" ht="13.5" customHeight="1">
      <c r="B5" s="288" t="str">
        <f>IF('[2]UV'!D14="","",'[2]UV'!D14)</f>
        <v>RINDER</v>
      </c>
      <c r="C5" s="288"/>
      <c r="D5" s="265"/>
      <c r="E5" s="265"/>
      <c r="F5" s="265"/>
      <c r="G5" s="265"/>
      <c r="H5" s="265"/>
      <c r="I5" s="265"/>
      <c r="J5" s="265"/>
      <c r="L5" s="465"/>
      <c r="M5" s="466"/>
    </row>
    <row r="6" spans="2:13" ht="13.5" customHeight="1" thickBot="1">
      <c r="B6" s="267" t="str">
        <f>IF('[2]UV'!C18="","",'[2]UV'!C18)</f>
        <v>Milchkühe</v>
      </c>
      <c r="C6" s="267"/>
      <c r="D6" s="571">
        <f>IF('[2]UV'!E18="","",'[2]UV'!E18)</f>
        <v>4</v>
      </c>
      <c r="E6" s="572">
        <f>IF('[2]UV'!S18="","",'[2]UV'!S18)</f>
        <v>1180</v>
      </c>
      <c r="F6" s="783">
        <f>IF($B6="","",D6*E6)</f>
        <v>4720</v>
      </c>
      <c r="G6" s="573">
        <f>IF('[2]UV'!K18="","",'[2]UV'!K18)</f>
        <v>4</v>
      </c>
      <c r="H6" s="317">
        <f>IF('[2]UV'!T18="","",'[2]UV'!T18)</f>
        <v>1180</v>
      </c>
      <c r="I6" s="784">
        <f>IF($B6="","",G6*H6)</f>
        <v>4720</v>
      </c>
      <c r="J6" s="784">
        <f>IF($B6="","",I6-F6)</f>
        <v>0</v>
      </c>
      <c r="L6" s="465"/>
      <c r="M6" s="466"/>
    </row>
    <row r="7" spans="2:13" ht="13.5" customHeight="1" thickBot="1">
      <c r="B7" s="267" t="str">
        <f>IF('[2]UV'!C20="","",'[2]UV'!C20)</f>
        <v>Kalbinnen</v>
      </c>
      <c r="C7" s="267"/>
      <c r="D7" s="571">
        <f>IF('[2]UV'!E20="","",'[2]UV'!E20)</f>
        <v>2</v>
      </c>
      <c r="E7" s="572">
        <f>IF('[2]UV'!S20="","",'[2]UV'!S20)</f>
        <v>1295</v>
      </c>
      <c r="F7" s="779"/>
      <c r="G7" s="573">
        <f>IF('[2]UV'!K20="","",'[2]UV'!K20)</f>
        <v>3</v>
      </c>
      <c r="H7" s="317">
        <f>IF('[2]UV'!T20="","",'[2]UV'!T20)</f>
        <v>1295</v>
      </c>
      <c r="I7" s="780"/>
      <c r="J7" s="780"/>
      <c r="L7" s="465"/>
      <c r="M7" s="466"/>
    </row>
    <row r="8" spans="2:13" ht="13.5" customHeight="1" thickBot="1">
      <c r="B8" s="267" t="str">
        <f>IF('[2]UV'!C22="","",'[2]UV'!C22)</f>
        <v>Jungvieh 1 - 2 Jahre</v>
      </c>
      <c r="C8" s="267"/>
      <c r="D8" s="571">
        <f>IF('[2]UV'!E22="","",'[2]UV'!E22)</f>
        <v>1</v>
      </c>
      <c r="E8" s="572">
        <f>IF('[2]UV'!S22="","",'[2]UV'!S22)</f>
        <v>860</v>
      </c>
      <c r="F8" s="779"/>
      <c r="G8" s="573">
        <f>IF('[2]UV'!K22="","",'[2]UV'!K22)</f>
        <v>1</v>
      </c>
      <c r="H8" s="317">
        <f>IF('[2]UV'!T22="","",'[2]UV'!T22)</f>
        <v>860</v>
      </c>
      <c r="I8" s="780"/>
      <c r="J8" s="780"/>
      <c r="L8" s="465"/>
      <c r="M8" s="466"/>
    </row>
    <row r="9" spans="2:13" ht="13.5" customHeight="1">
      <c r="B9" s="267" t="str">
        <f>IF('[2]UV'!C24="","",'[2]UV'!C24)</f>
        <v>Jungvieh bis 1 Jahr</v>
      </c>
      <c r="C9" s="267"/>
      <c r="D9" s="571">
        <f>IF('[2]UV'!E24="","",'[2]UV'!E24)</f>
        <v>1</v>
      </c>
      <c r="E9" s="572">
        <f>IF('[2]UV'!S24="","",'[2]UV'!S24)</f>
        <v>650</v>
      </c>
      <c r="F9" s="304">
        <f>IF($B9="","",D9*E9)</f>
        <v>650</v>
      </c>
      <c r="G9" s="573">
        <f>IF('[2]UV'!K24="","",'[2]UV'!K24)</f>
        <v>2</v>
      </c>
      <c r="H9" s="317">
        <f>IF('[2]UV'!T24="","",'[2]UV'!T24)</f>
        <v>650</v>
      </c>
      <c r="I9" s="787">
        <f>IF($B9="","",G9*H9)</f>
        <v>1300</v>
      </c>
      <c r="J9" s="787">
        <f>IF($B9="","",I9-F9)</f>
        <v>650</v>
      </c>
      <c r="L9" s="465"/>
      <c r="M9" s="466"/>
    </row>
    <row r="10" spans="2:13" ht="13.5" customHeight="1">
      <c r="B10" s="267" t="str">
        <f>IF('[2]UV'!C26="","",'[2]UV'!C26)</f>
        <v>Einsteller</v>
      </c>
      <c r="C10" s="267"/>
      <c r="D10" s="571">
        <f>IF('[2]UV'!E26="","",'[2]UV'!E26)</f>
        <v>4</v>
      </c>
      <c r="E10" s="572">
        <f>IF('[2]UV'!S26="","",'[2]UV'!S26)</f>
        <v>198</v>
      </c>
      <c r="F10" s="304">
        <f>IF($B10="","",D10*E10)</f>
        <v>792</v>
      </c>
      <c r="G10" s="573">
        <f>IF('[2]UV'!K26="","",'[2]UV'!K26)</f>
        <v>2</v>
      </c>
      <c r="H10" s="317">
        <f>IF('[2]UV'!T26="","",'[2]UV'!T26)</f>
        <v>198</v>
      </c>
      <c r="I10" s="787">
        <f>IF($B10="","",G10*H10)</f>
        <v>396</v>
      </c>
      <c r="J10" s="787">
        <f>IF($B10="","",I10-F10)</f>
        <v>-396</v>
      </c>
      <c r="L10" s="462"/>
      <c r="M10" s="475"/>
    </row>
    <row r="11" spans="2:13" ht="13.5" customHeight="1">
      <c r="B11" s="267">
        <f>IF('[2]UV'!C28="","",'[2]UV'!C28)</f>
      </c>
      <c r="C11" s="267"/>
      <c r="D11" s="571">
        <f>IF('[2]UV'!E28="","",'[2]UV'!E28)</f>
      </c>
      <c r="E11" s="572">
        <f>IF('[2]UV'!S28="","",'[2]UV'!S28)</f>
      </c>
      <c r="F11" s="304"/>
      <c r="G11" s="573">
        <f>IF('[2]UV'!K28="","",'[2]UV'!K28)</f>
      </c>
      <c r="H11" s="317">
        <f>IF('[2]UV'!T28="","",'[2]UV'!T28)</f>
      </c>
      <c r="I11" s="787"/>
      <c r="J11" s="787"/>
      <c r="L11" s="465"/>
      <c r="M11" s="466"/>
    </row>
    <row r="12" spans="2:13" ht="13.5" customHeight="1" thickBot="1">
      <c r="B12" s="267">
        <f>IF('[2]UV'!C30="","",'[2]UV'!C30)</f>
      </c>
      <c r="C12" s="267"/>
      <c r="D12" s="571">
        <f>IF('[2]UV'!E30="","",'[2]UV'!E30)</f>
      </c>
      <c r="E12" s="572">
        <f>IF('[2]UV'!S30="","",'[2]UV'!S30)</f>
      </c>
      <c r="F12" s="783"/>
      <c r="G12" s="573">
        <f>IF('[2]UV'!K30="","",'[2]UV'!K30)</f>
      </c>
      <c r="H12" s="317">
        <f>IF('[2]UV'!T30="","",'[2]UV'!T30)</f>
      </c>
      <c r="I12" s="784"/>
      <c r="J12" s="784"/>
      <c r="L12" s="465"/>
      <c r="M12" s="466"/>
    </row>
    <row r="13" spans="2:13" ht="13.5" customHeight="1" thickBot="1">
      <c r="B13" s="574" t="s">
        <v>443</v>
      </c>
      <c r="C13" s="575"/>
      <c r="D13" s="331"/>
      <c r="E13" s="331"/>
      <c r="F13" s="576"/>
      <c r="G13" s="331"/>
      <c r="H13" s="577"/>
      <c r="I13" s="578"/>
      <c r="J13" s="578"/>
      <c r="L13" s="482"/>
      <c r="M13" s="466"/>
    </row>
    <row r="14" spans="2:13" ht="6" customHeight="1" thickBot="1">
      <c r="B14" s="233"/>
      <c r="C14" s="233"/>
      <c r="E14" s="233"/>
      <c r="F14" s="233"/>
      <c r="H14" s="233"/>
      <c r="I14" s="233"/>
      <c r="J14" s="233"/>
      <c r="L14" s="482"/>
      <c r="M14" s="466"/>
    </row>
    <row r="15" spans="2:13" ht="13.5" thickBot="1">
      <c r="B15" s="233"/>
      <c r="C15" s="579"/>
      <c r="D15" s="580" t="s">
        <v>444</v>
      </c>
      <c r="E15" s="233"/>
      <c r="F15" s="581" t="s">
        <v>445</v>
      </c>
      <c r="H15" s="233"/>
      <c r="I15" s="233"/>
      <c r="J15" s="233"/>
      <c r="L15" s="482"/>
      <c r="M15" s="466"/>
    </row>
    <row r="16" spans="2:13" ht="3.75" customHeight="1" thickBot="1">
      <c r="B16" s="233"/>
      <c r="C16" s="233"/>
      <c r="E16" s="233"/>
      <c r="F16" s="233"/>
      <c r="H16" s="233"/>
      <c r="I16" s="233"/>
      <c r="J16" s="233"/>
      <c r="L16" s="465"/>
      <c r="M16" s="466"/>
    </row>
    <row r="17" spans="2:13" ht="15.75" thickBot="1">
      <c r="B17" s="233"/>
      <c r="C17" s="579"/>
      <c r="D17" s="580" t="s">
        <v>446</v>
      </c>
      <c r="E17" s="233"/>
      <c r="F17" s="233"/>
      <c r="H17" s="233"/>
      <c r="I17" s="233"/>
      <c r="J17" s="233"/>
      <c r="L17" s="462"/>
      <c r="M17" s="475"/>
    </row>
    <row r="18" spans="2:13" ht="3.75" customHeight="1" thickBot="1">
      <c r="B18" s="233"/>
      <c r="C18" s="233"/>
      <c r="E18" s="233"/>
      <c r="F18" s="233"/>
      <c r="H18" s="233"/>
      <c r="I18" s="233"/>
      <c r="J18" s="233"/>
      <c r="L18" s="465"/>
      <c r="M18" s="466"/>
    </row>
    <row r="19" spans="2:13" ht="13.5" thickBot="1">
      <c r="B19" s="233"/>
      <c r="C19" s="579"/>
      <c r="D19" s="580" t="s">
        <v>447</v>
      </c>
      <c r="E19" s="233"/>
      <c r="F19" s="233"/>
      <c r="H19" s="233"/>
      <c r="I19" s="233"/>
      <c r="J19" s="233"/>
      <c r="L19" s="708"/>
      <c r="M19" s="774"/>
    </row>
    <row r="20" spans="2:13" ht="6" customHeight="1">
      <c r="B20" s="233"/>
      <c r="C20" s="233"/>
      <c r="E20" s="233"/>
      <c r="F20" s="233"/>
      <c r="H20" s="233"/>
      <c r="I20" s="233"/>
      <c r="J20" s="233"/>
      <c r="L20" s="708"/>
      <c r="M20" s="774"/>
    </row>
    <row r="21" spans="2:13" ht="13.5" customHeight="1">
      <c r="B21" s="288" t="s">
        <v>448</v>
      </c>
      <c r="C21" s="288"/>
      <c r="D21" s="265"/>
      <c r="E21" s="265"/>
      <c r="F21" s="265"/>
      <c r="G21" s="265"/>
      <c r="H21" s="265"/>
      <c r="I21" s="265"/>
      <c r="J21" s="265"/>
      <c r="L21" s="708"/>
      <c r="M21" s="774"/>
    </row>
    <row r="22" spans="2:13" ht="13.5" customHeight="1">
      <c r="B22" s="267" t="str">
        <f>IF('[2]UV'!C36="","",'[2]UV'!C36)</f>
        <v>Mastschweine</v>
      </c>
      <c r="C22" s="267"/>
      <c r="D22" s="571">
        <f>IF('[2]UV'!E36="","",'[2]UV'!E36)</f>
        <v>4</v>
      </c>
      <c r="E22" s="572">
        <f>IF('[2]UV'!S36="","",'[2]UV'!S36)</f>
        <v>165</v>
      </c>
      <c r="F22" s="304">
        <f>IF($B22="","",D22*E22)</f>
        <v>660</v>
      </c>
      <c r="G22" s="573">
        <f>IF('[2]UV'!K36="","",'[2]UV'!K36)</f>
        <v>3</v>
      </c>
      <c r="H22" s="317">
        <f>IF('[2]UV'!T36="","",'[2]UV'!T36)</f>
        <v>165</v>
      </c>
      <c r="I22" s="787">
        <f>IF($B22="","",G22*H22)</f>
        <v>495</v>
      </c>
      <c r="J22" s="787">
        <f>IF($B22="","",I22-F22)</f>
        <v>-165</v>
      </c>
      <c r="L22" s="708"/>
      <c r="M22" s="774"/>
    </row>
    <row r="23" spans="2:13" ht="13.5" customHeight="1">
      <c r="B23" s="267">
        <f>IF('[2]UV'!C38="","",'[2]UV'!C38)</f>
      </c>
      <c r="C23" s="267"/>
      <c r="D23" s="571">
        <f>IF('[2]UV'!E38="","",'[2]UV'!E38)</f>
      </c>
      <c r="E23" s="572">
        <f>IF('[2]UV'!S38="","",'[2]UV'!S38)</f>
      </c>
      <c r="F23" s="304"/>
      <c r="G23" s="573">
        <f>IF('[2]UV'!K38="","",'[2]UV'!K38)</f>
      </c>
      <c r="H23" s="317">
        <f>IF('[2]UV'!T38="","",'[2]UV'!T38)</f>
      </c>
      <c r="I23" s="787"/>
      <c r="J23" s="787"/>
      <c r="L23" s="708"/>
      <c r="M23" s="774"/>
    </row>
    <row r="24" spans="2:13" ht="13.5" customHeight="1">
      <c r="B24" s="267">
        <f>IF('[2]UV'!C40="","",'[2]UV'!C40)</f>
      </c>
      <c r="C24" s="267"/>
      <c r="D24" s="571">
        <f>IF('[2]UV'!E40="","",'[2]UV'!E40)</f>
      </c>
      <c r="E24" s="572">
        <f>IF('[2]UV'!S40="","",'[2]UV'!S40)</f>
      </c>
      <c r="F24" s="304"/>
      <c r="G24" s="573">
        <f>IF('[2]UV'!K40="","",'[2]UV'!K40)</f>
      </c>
      <c r="H24" s="317">
        <f>IF('[2]UV'!T40="","",'[2]UV'!T40)</f>
      </c>
      <c r="I24" s="787"/>
      <c r="J24" s="787"/>
      <c r="L24" s="708"/>
      <c r="M24" s="774"/>
    </row>
    <row r="25" spans="2:13" ht="13.5" customHeight="1">
      <c r="B25" s="267">
        <f>IF('[2]UV'!C42="","",'[2]UV'!C42)</f>
      </c>
      <c r="C25" s="267"/>
      <c r="D25" s="571">
        <f>IF('[2]UV'!E42="","",'[2]UV'!E42)</f>
      </c>
      <c r="E25" s="572">
        <f>IF('[2]UV'!S42="","",'[2]UV'!S42)</f>
      </c>
      <c r="F25" s="304"/>
      <c r="G25" s="573">
        <f>IF('[2]UV'!K42="","",'[2]UV'!K42)</f>
      </c>
      <c r="H25" s="317">
        <f>IF('[2]UV'!T42="","",'[2]UV'!T42)</f>
      </c>
      <c r="I25" s="787"/>
      <c r="J25" s="787"/>
      <c r="L25" s="708"/>
      <c r="M25" s="774"/>
    </row>
    <row r="26" spans="2:13" ht="13.5" customHeight="1">
      <c r="B26" s="267">
        <f>IF('[2]UV'!C44="","",'[2]UV'!C44)</f>
      </c>
      <c r="C26" s="267"/>
      <c r="D26" s="571">
        <f>IF('[2]UV'!E44="","",'[2]UV'!E44)</f>
      </c>
      <c r="E26" s="572">
        <f>IF('[2]UV'!S44="","",'[2]UV'!S44)</f>
      </c>
      <c r="F26" s="304"/>
      <c r="G26" s="573">
        <f>IF('[2]UV'!K44="","",'[2]UV'!K44)</f>
      </c>
      <c r="H26" s="317">
        <f>IF('[2]UV'!T44="","",'[2]UV'!T44)</f>
      </c>
      <c r="I26" s="787"/>
      <c r="J26" s="787"/>
      <c r="L26" s="708"/>
      <c r="M26" s="774"/>
    </row>
    <row r="27" spans="2:13" ht="13.5" customHeight="1">
      <c r="B27" s="574" t="s">
        <v>449</v>
      </c>
      <c r="C27" s="575"/>
      <c r="D27" s="331"/>
      <c r="E27" s="331"/>
      <c r="F27" s="781">
        <f>IF(SUM(F22:F22)=0,"",SUM(F22:F22))</f>
        <v>660</v>
      </c>
      <c r="G27" s="331"/>
      <c r="H27" s="577"/>
      <c r="I27" s="782">
        <f>IF(SUM(I22:I22)=0,"",SUM(I22:I22))</f>
        <v>495</v>
      </c>
      <c r="J27" s="782">
        <f>IF(SUM(J22:J22)=0,"",SUM(J22:J22))</f>
        <v>-165</v>
      </c>
      <c r="L27" s="708"/>
      <c r="M27" s="774"/>
    </row>
    <row r="28" spans="2:13" ht="6" customHeight="1">
      <c r="B28" s="233"/>
      <c r="C28" s="233"/>
      <c r="E28" s="233"/>
      <c r="F28" s="233"/>
      <c r="H28" s="233"/>
      <c r="I28" s="233"/>
      <c r="J28" s="233"/>
      <c r="L28" s="708"/>
      <c r="M28" s="774"/>
    </row>
    <row r="29" spans="2:13" ht="13.5" customHeight="1">
      <c r="B29" s="288" t="s">
        <v>450</v>
      </c>
      <c r="C29" s="288"/>
      <c r="D29" s="265"/>
      <c r="E29" s="265"/>
      <c r="F29" s="265"/>
      <c r="G29" s="265"/>
      <c r="H29" s="265"/>
      <c r="I29" s="265"/>
      <c r="J29" s="265"/>
      <c r="L29" s="708"/>
      <c r="M29" s="774"/>
    </row>
    <row r="30" spans="2:13" ht="13.5" customHeight="1" thickBot="1">
      <c r="B30" s="288" t="s">
        <v>451</v>
      </c>
      <c r="C30" s="288"/>
      <c r="D30" s="265"/>
      <c r="E30" s="265"/>
      <c r="F30" s="265"/>
      <c r="G30" s="265"/>
      <c r="H30" s="265"/>
      <c r="I30" s="265"/>
      <c r="J30" s="265"/>
      <c r="L30" s="708"/>
      <c r="M30" s="774"/>
    </row>
    <row r="31" spans="2:13" ht="13.5" customHeight="1" thickBot="1">
      <c r="B31" s="267" t="str">
        <f>IF('[2]UV'!C50="","",'[2]UV'!C50)</f>
        <v>Gerste</v>
      </c>
      <c r="C31" s="267"/>
      <c r="D31" s="571">
        <f>IF('[2]UV'!E50="","",'[2]UV'!E50)</f>
        <v>25</v>
      </c>
      <c r="E31" s="572">
        <f>IF('[2]UV'!S50="","",'[2]UV'!S50)</f>
        <v>0.13</v>
      </c>
      <c r="F31" s="779"/>
      <c r="G31" s="573">
        <f>IF('[2]UV'!K50="","",'[2]UV'!K50)</f>
        <v>100</v>
      </c>
      <c r="H31" s="317">
        <f>IF('[2]UV'!T50="","",'[2]UV'!T50)</f>
        <v>0.13</v>
      </c>
      <c r="I31" s="780"/>
      <c r="J31" s="780"/>
      <c r="L31" s="708"/>
      <c r="M31" s="774"/>
    </row>
    <row r="32" spans="2:13" ht="13.5" customHeight="1" thickBot="1">
      <c r="B32" s="267" t="str">
        <f>IF('[2]UV'!C52="","",'[2]UV'!C52)</f>
        <v>Hafer</v>
      </c>
      <c r="C32" s="267"/>
      <c r="D32" s="571">
        <f>IF('[2]UV'!E52="","",'[2]UV'!E52)</f>
        <v>4</v>
      </c>
      <c r="E32" s="572">
        <f>IF('[2]UV'!S52="","",'[2]UV'!S52)</f>
        <v>0.14</v>
      </c>
      <c r="F32" s="779"/>
      <c r="G32" s="573">
        <f>IF('[2]UV'!K52="","",'[2]UV'!K52)</f>
        <v>25</v>
      </c>
      <c r="H32" s="317">
        <f>IF('[2]UV'!T52="","",'[2]UV'!T52)</f>
        <v>0.14</v>
      </c>
      <c r="I32" s="780"/>
      <c r="J32" s="780"/>
      <c r="L32" s="708"/>
      <c r="M32" s="774"/>
    </row>
    <row r="33" spans="2:13" ht="13.5" customHeight="1" thickBot="1">
      <c r="B33" s="267" t="str">
        <f>IF('[2]UV'!C54="","",'[2]UV'!C54)</f>
        <v>Kartoffel</v>
      </c>
      <c r="C33" s="267"/>
      <c r="D33" s="571">
        <f>IF('[2]UV'!E54="","",'[2]UV'!E54)</f>
        <v>1450</v>
      </c>
      <c r="E33" s="572">
        <f>IF('[2]UV'!S54="","",'[2]UV'!S54)</f>
        <v>0.07</v>
      </c>
      <c r="F33" s="779"/>
      <c r="G33" s="573">
        <f>IF('[2]UV'!K54="","",'[2]UV'!K54)</f>
        <v>650</v>
      </c>
      <c r="H33" s="317">
        <f>IF('[2]UV'!T54="","",'[2]UV'!T54)</f>
        <v>0.07</v>
      </c>
      <c r="I33" s="780"/>
      <c r="J33" s="780"/>
      <c r="L33" s="708"/>
      <c r="M33" s="774"/>
    </row>
    <row r="34" spans="2:13" ht="13.5" customHeight="1">
      <c r="B34" s="267">
        <f>IF('[2]UV'!C56="","",'[2]UV'!C56)</f>
      </c>
      <c r="C34" s="267"/>
      <c r="D34" s="571">
        <f>IF('[2]UV'!E56="","",'[2]UV'!E56)</f>
      </c>
      <c r="E34" s="572">
        <f>IF('[2]UV'!S56="","",'[2]UV'!S56)</f>
      </c>
      <c r="F34" s="785"/>
      <c r="G34" s="573">
        <f>IF('[2]UV'!K56="","",'[2]UV'!K56)</f>
      </c>
      <c r="H34" s="317">
        <f>IF('[2]UV'!T56="","",'[2]UV'!T56)</f>
      </c>
      <c r="I34" s="786"/>
      <c r="J34" s="786"/>
      <c r="L34" s="708"/>
      <c r="M34" s="774"/>
    </row>
    <row r="35" spans="2:13" ht="13.5" customHeight="1" thickBot="1">
      <c r="B35" s="267">
        <f>IF('[2]UV'!C58="","",'[2]UV'!C58)</f>
      </c>
      <c r="C35" s="267"/>
      <c r="D35" s="571">
        <f>IF('[2]UV'!E58="","",'[2]UV'!E58)</f>
      </c>
      <c r="E35" s="572">
        <f>IF('[2]UV'!S58="","",'[2]UV'!S58)</f>
      </c>
      <c r="F35" s="783"/>
      <c r="G35" s="573">
        <f>IF('[2]UV'!K58="","",'[2]UV'!K58)</f>
      </c>
      <c r="H35" s="317">
        <f>IF('[2]UV'!T58="","",'[2]UV'!T58)</f>
      </c>
      <c r="I35" s="784"/>
      <c r="J35" s="784"/>
      <c r="L35" s="708"/>
      <c r="M35" s="774"/>
    </row>
    <row r="36" spans="2:13" ht="13.5" customHeight="1" thickBot="1">
      <c r="B36" s="574" t="s">
        <v>452</v>
      </c>
      <c r="C36" s="575"/>
      <c r="D36" s="331"/>
      <c r="E36" s="331"/>
      <c r="F36" s="576"/>
      <c r="G36" s="331"/>
      <c r="H36" s="577"/>
      <c r="I36" s="578"/>
      <c r="J36" s="578"/>
      <c r="L36" s="708"/>
      <c r="M36" s="774"/>
    </row>
    <row r="37" spans="2:13" ht="6" customHeight="1" thickBot="1">
      <c r="B37" s="233"/>
      <c r="C37" s="233"/>
      <c r="E37" s="233"/>
      <c r="F37" s="233"/>
      <c r="H37" s="233"/>
      <c r="I37" s="233"/>
      <c r="J37" s="233"/>
      <c r="L37" s="708"/>
      <c r="M37" s="774"/>
    </row>
    <row r="38" spans="2:13" ht="13.5" thickBot="1">
      <c r="B38" s="233"/>
      <c r="C38" s="579"/>
      <c r="D38" s="580" t="s">
        <v>444</v>
      </c>
      <c r="E38" s="233"/>
      <c r="F38" s="581" t="s">
        <v>445</v>
      </c>
      <c r="H38" s="233"/>
      <c r="I38" s="233"/>
      <c r="J38" s="233"/>
      <c r="L38" s="708"/>
      <c r="M38" s="774"/>
    </row>
    <row r="39" spans="2:13" ht="3.75" customHeight="1" thickBot="1">
      <c r="B39" s="233"/>
      <c r="C39" s="233"/>
      <c r="D39" s="580"/>
      <c r="E39" s="233"/>
      <c r="F39" s="233"/>
      <c r="H39" s="233"/>
      <c r="I39" s="233"/>
      <c r="J39" s="233"/>
      <c r="L39" s="708"/>
      <c r="M39" s="774"/>
    </row>
    <row r="40" spans="2:13" ht="13.5" thickBot="1">
      <c r="B40" s="233"/>
      <c r="C40" s="579"/>
      <c r="D40" s="580" t="s">
        <v>446</v>
      </c>
      <c r="E40" s="233"/>
      <c r="F40" s="233"/>
      <c r="H40" s="233"/>
      <c r="I40" s="233"/>
      <c r="J40" s="233"/>
      <c r="L40" s="708"/>
      <c r="M40" s="774"/>
    </row>
    <row r="41" spans="2:13" ht="3.75" customHeight="1" thickBot="1">
      <c r="B41" s="233"/>
      <c r="C41" s="233"/>
      <c r="D41" s="580"/>
      <c r="E41" s="233"/>
      <c r="F41" s="233"/>
      <c r="H41" s="233"/>
      <c r="I41" s="233"/>
      <c r="J41" s="233"/>
      <c r="L41" s="708"/>
      <c r="M41" s="774"/>
    </row>
    <row r="42" spans="2:13" ht="13.5" thickBot="1">
      <c r="B42" s="233"/>
      <c r="C42" s="579"/>
      <c r="D42" s="580" t="s">
        <v>447</v>
      </c>
      <c r="E42" s="233"/>
      <c r="F42" s="233"/>
      <c r="H42" s="233"/>
      <c r="I42" s="233"/>
      <c r="J42" s="233"/>
      <c r="L42" s="708"/>
      <c r="M42" s="774"/>
    </row>
    <row r="43" spans="2:13" ht="6" customHeight="1">
      <c r="B43" s="233"/>
      <c r="C43" s="233"/>
      <c r="E43" s="233"/>
      <c r="F43" s="233"/>
      <c r="H43" s="233"/>
      <c r="I43" s="233"/>
      <c r="J43" s="233"/>
      <c r="L43" s="708"/>
      <c r="M43" s="774"/>
    </row>
    <row r="44" spans="2:13" ht="13.5" customHeight="1">
      <c r="B44" s="288" t="s">
        <v>453</v>
      </c>
      <c r="C44" s="288"/>
      <c r="D44" s="265"/>
      <c r="E44" s="265"/>
      <c r="F44" s="265"/>
      <c r="G44" s="265"/>
      <c r="H44" s="265"/>
      <c r="I44" s="265"/>
      <c r="J44" s="265"/>
      <c r="L44" s="708"/>
      <c r="M44" s="774"/>
    </row>
    <row r="45" spans="2:13" ht="13.5" customHeight="1">
      <c r="B45" s="267" t="str">
        <f>IF('[2]UV'!C64="","",'[2]UV'!C64)</f>
        <v>Milchkraftfutter</v>
      </c>
      <c r="C45" s="267"/>
      <c r="D45" s="571">
        <f>IF('[2]UV'!E64="","",'[2]UV'!E64)</f>
        <v>260</v>
      </c>
      <c r="E45" s="572">
        <f>IF('[2]UV'!S64="","",'[2]UV'!S64)</f>
        <v>0.26</v>
      </c>
      <c r="F45" s="304">
        <f>IF($B45="","",D45*E45)</f>
        <v>67.60000000000001</v>
      </c>
      <c r="G45" s="573">
        <f>IF('[2]UV'!K64="","",'[2]UV'!K64)</f>
        <v>600</v>
      </c>
      <c r="H45" s="317">
        <f>IF('[2]UV'!T64="","",'[2]UV'!T64)</f>
        <v>0.26</v>
      </c>
      <c r="I45" s="787">
        <f>IF($B45="","",G45*H45)</f>
        <v>156</v>
      </c>
      <c r="J45" s="787">
        <f>IF($B45="","",I45-F45)</f>
        <v>88.39999999999999</v>
      </c>
      <c r="L45" s="708"/>
      <c r="M45" s="774"/>
    </row>
    <row r="46" spans="2:13" ht="13.5" customHeight="1">
      <c r="B46" s="267" t="str">
        <f>IF('[2]UV'!C66="","",'[2]UV'!C66)</f>
        <v>Weizenschrot</v>
      </c>
      <c r="C46" s="267"/>
      <c r="D46" s="571">
        <f>IF('[2]UV'!E66="","",'[2]UV'!E66)</f>
        <v>169</v>
      </c>
      <c r="E46" s="572">
        <f>IF('[2]UV'!S66="","",'[2]UV'!S66)</f>
        <v>0.23</v>
      </c>
      <c r="F46" s="304">
        <f>IF($B46="","",D46*E46)</f>
        <v>38.870000000000005</v>
      </c>
      <c r="G46" s="573">
        <f>IF('[2]UV'!K66="","",'[2]UV'!K66)</f>
        <v>300</v>
      </c>
      <c r="H46" s="317">
        <f>IF('[2]UV'!T66="","",'[2]UV'!T66)</f>
        <v>0.23</v>
      </c>
      <c r="I46" s="787">
        <f>IF($B46="","",G46*H46)</f>
        <v>69</v>
      </c>
      <c r="J46" s="787">
        <f>IF($B46="","",I46-F46)</f>
        <v>30.129999999999995</v>
      </c>
      <c r="L46" s="708"/>
      <c r="M46" s="774"/>
    </row>
    <row r="47" spans="2:13" ht="13.5" customHeight="1">
      <c r="B47" s="267" t="str">
        <f>IF('[2]UV'!C68="","",'[2]UV'!C68)</f>
        <v>Erbsenschrot</v>
      </c>
      <c r="C47" s="267"/>
      <c r="D47" s="571">
        <f>IF('[2]UV'!E68="","",'[2]UV'!E68)</f>
        <v>55</v>
      </c>
      <c r="E47" s="572">
        <f>IF('[2]UV'!S68="","",'[2]UV'!S68)</f>
        <v>0.22</v>
      </c>
      <c r="F47" s="304">
        <f>IF($B47="","",D47*E47)</f>
        <v>12.1</v>
      </c>
      <c r="G47" s="573">
        <f>IF('[2]UV'!K68="","",'[2]UV'!K68)</f>
        <v>100</v>
      </c>
      <c r="H47" s="317">
        <f>IF('[2]UV'!T68="","",'[2]UV'!T68)</f>
        <v>0.22</v>
      </c>
      <c r="I47" s="787">
        <f>IF($B47="","",G47*H47)</f>
        <v>22</v>
      </c>
      <c r="J47" s="787">
        <f>IF($B47="","",I47-F47)</f>
        <v>9.9</v>
      </c>
      <c r="L47" s="708"/>
      <c r="M47" s="774"/>
    </row>
    <row r="48" spans="2:13" ht="13.5" customHeight="1">
      <c r="B48" s="267">
        <f>IF('[2]UV'!C70="","",'[2]UV'!C70)</f>
      </c>
      <c r="C48" s="267"/>
      <c r="D48" s="571">
        <f>IF('[2]UV'!E70="","",'[2]UV'!E70)</f>
      </c>
      <c r="E48" s="572">
        <f>IF('[2]UV'!S70="","",'[2]UV'!S70)</f>
      </c>
      <c r="F48" s="304"/>
      <c r="G48" s="573">
        <f>IF('[2]UV'!K70="","",'[2]UV'!K70)</f>
      </c>
      <c r="H48" s="317">
        <f>IF('[2]UV'!T70="","",'[2]UV'!T70)</f>
      </c>
      <c r="I48" s="787"/>
      <c r="J48" s="787"/>
      <c r="L48" s="708"/>
      <c r="M48" s="774"/>
    </row>
    <row r="49" spans="2:13" ht="13.5" customHeight="1">
      <c r="B49" s="267">
        <f>IF('[2]UV'!C72="","",'[2]UV'!C72)</f>
      </c>
      <c r="C49" s="267"/>
      <c r="D49" s="571">
        <f>IF('[2]UV'!E72="","",'[2]UV'!E72)</f>
      </c>
      <c r="E49" s="572">
        <f>IF('[2]UV'!S72="","",'[2]UV'!S72)</f>
      </c>
      <c r="F49" s="304"/>
      <c r="G49" s="573">
        <f>IF('[2]UV'!K72="","",'[2]UV'!K72)</f>
      </c>
      <c r="H49" s="317">
        <f>IF('[2]UV'!T72="","",'[2]UV'!T72)</f>
      </c>
      <c r="I49" s="787"/>
      <c r="J49" s="787"/>
      <c r="L49" s="708"/>
      <c r="M49" s="774"/>
    </row>
    <row r="50" spans="2:13" ht="13.5" customHeight="1">
      <c r="B50" s="574" t="s">
        <v>454</v>
      </c>
      <c r="C50" s="575"/>
      <c r="D50" s="331"/>
      <c r="E50" s="331"/>
      <c r="F50" s="781">
        <f>IF(SUM(F45:F47)=0,"",SUM(F45:F47))</f>
        <v>118.57000000000001</v>
      </c>
      <c r="G50" s="331"/>
      <c r="H50" s="577"/>
      <c r="I50" s="782">
        <f>IF(SUM(I45:I47)=0,"",SUM(I45:I47))</f>
        <v>247</v>
      </c>
      <c r="J50" s="782">
        <f>IF(SUM(J45:J47)=0,"",SUM(J45:J47))</f>
        <v>128.42999999999998</v>
      </c>
      <c r="L50" s="708"/>
      <c r="M50" s="774"/>
    </row>
    <row r="51" spans="4:13" ht="15.75" customHeight="1">
      <c r="D51" s="284"/>
      <c r="E51" s="583"/>
      <c r="F51" s="583"/>
      <c r="G51" s="284"/>
      <c r="H51" s="583"/>
      <c r="I51" s="583"/>
      <c r="J51" s="583"/>
      <c r="L51" s="708"/>
      <c r="M51" s="774"/>
    </row>
    <row r="52" spans="2:13" ht="13.5" customHeight="1">
      <c r="B52" s="288" t="s">
        <v>455</v>
      </c>
      <c r="C52" s="288"/>
      <c r="D52" s="265"/>
      <c r="E52" s="265"/>
      <c r="F52" s="265"/>
      <c r="H52" s="233"/>
      <c r="I52" s="233"/>
      <c r="J52" s="233"/>
      <c r="L52" s="708"/>
      <c r="M52" s="774"/>
    </row>
    <row r="53" spans="2:13" ht="13.5" customHeight="1">
      <c r="B53" s="584" t="str">
        <f>IF('[2]UV'!C76="","",'[2]UV'!C76)</f>
        <v>Kassa</v>
      </c>
      <c r="C53" s="584"/>
      <c r="D53" s="584"/>
      <c r="E53" s="584"/>
      <c r="F53" s="304">
        <f>IF('[2]UV'!S76="","",'[2]UV'!S76)</f>
        <v>1265</v>
      </c>
      <c r="H53" s="233"/>
      <c r="I53" s="233"/>
      <c r="J53" s="233"/>
      <c r="L53" s="708"/>
      <c r="M53" s="774"/>
    </row>
    <row r="54" spans="2:13" ht="13.5" customHeight="1">
      <c r="B54" s="584" t="str">
        <f>IF('[2]UV'!C78="","",'[2]UV'!C78)</f>
        <v>Girokonto</v>
      </c>
      <c r="C54" s="584"/>
      <c r="D54" s="584"/>
      <c r="E54" s="584"/>
      <c r="F54" s="304">
        <f>IF('[2]UV'!S78="","",'[2]UV'!S78)</f>
        <v>4300</v>
      </c>
      <c r="H54" s="233"/>
      <c r="I54" s="233"/>
      <c r="J54" s="233"/>
      <c r="L54" s="708"/>
      <c r="M54" s="774"/>
    </row>
    <row r="55" spans="2:13" ht="13.5" customHeight="1">
      <c r="B55" s="584" t="str">
        <f>IF('[2]UV'!C80="","",'[2]UV'!C80)</f>
        <v>Offene Forderungen: Lagerhaus</v>
      </c>
      <c r="C55" s="584"/>
      <c r="D55" s="584"/>
      <c r="E55" s="584"/>
      <c r="F55" s="304">
        <f>IF('[2]UV'!S80="","",'[2]UV'!S80)</f>
        <v>789</v>
      </c>
      <c r="H55" s="233"/>
      <c r="I55" s="233"/>
      <c r="J55" s="233"/>
      <c r="L55" s="708"/>
      <c r="M55" s="774"/>
    </row>
    <row r="56" spans="2:13" ht="13.5" customHeight="1">
      <c r="B56" s="584" t="str">
        <f>IF('[2]UV'!C82="","",'[2]UV'!C82)</f>
        <v>Verbindlichkeiten Futtermittellieferanten</v>
      </c>
      <c r="C56" s="584"/>
      <c r="D56" s="584"/>
      <c r="E56" s="584"/>
      <c r="F56" s="304">
        <f>IF('[2]UV'!S82="","",'[2]UV'!S82)</f>
        <v>980</v>
      </c>
      <c r="H56" s="233"/>
      <c r="I56" s="233"/>
      <c r="J56" s="233"/>
      <c r="L56" s="708"/>
      <c r="M56" s="774"/>
    </row>
    <row r="57" spans="2:13" ht="13.5" customHeight="1">
      <c r="B57" s="584" t="str">
        <f>IF('[2]UV'!C84="","",'[2]UV'!C84)</f>
        <v>Darlehen</v>
      </c>
      <c r="C57" s="584"/>
      <c r="D57" s="584"/>
      <c r="E57" s="584"/>
      <c r="F57" s="304">
        <f>IF('[2]UV'!S84="","",'[2]UV'!S84)</f>
        <v>3460</v>
      </c>
      <c r="H57" s="233"/>
      <c r="I57" s="233"/>
      <c r="J57" s="233"/>
      <c r="L57" s="708"/>
      <c r="M57" s="774"/>
    </row>
    <row r="58" spans="2:13" ht="13.5" customHeight="1">
      <c r="B58" s="584">
        <f>IF('[2]UV'!C86="","",'[2]UV'!C86)</f>
      </c>
      <c r="C58" s="584"/>
      <c r="D58" s="584"/>
      <c r="E58" s="584"/>
      <c r="F58" s="304">
        <f>IF('[2]UV'!S86="","",'[2]UV'!S86)</f>
      </c>
      <c r="H58" s="233"/>
      <c r="I58" s="233"/>
      <c r="J58" s="233"/>
      <c r="L58" s="708"/>
      <c r="M58" s="774"/>
    </row>
    <row r="59" spans="2:13" ht="13.5" customHeight="1">
      <c r="B59" s="584">
        <f>IF('[2]UV'!C88="","",'[2]UV'!C88)</f>
      </c>
      <c r="C59" s="584"/>
      <c r="D59" s="584"/>
      <c r="E59" s="584"/>
      <c r="F59" s="304">
        <f>IF('[2]UV'!S88="","",'[2]UV'!S88)</f>
      </c>
      <c r="H59" s="233"/>
      <c r="I59" s="233"/>
      <c r="J59" s="233"/>
      <c r="L59" s="708"/>
      <c r="M59" s="774"/>
    </row>
    <row r="60" spans="5:13" ht="12.75">
      <c r="E60" s="233"/>
      <c r="L60" s="708"/>
      <c r="M60" s="774"/>
    </row>
    <row r="61" ht="12.75" hidden="1"/>
    <row r="62" ht="12.75" hidden="1"/>
    <row r="63" ht="12.75" hidden="1"/>
    <row r="64" ht="15.75" customHeight="1" hidden="1"/>
  </sheetData>
  <sheetProtection sheet="1" objects="1" scenarios="1"/>
  <mergeCells count="4">
    <mergeCell ref="D3:E3"/>
    <mergeCell ref="G3:H3"/>
    <mergeCell ref="J3:J4"/>
    <mergeCell ref="M1:M4"/>
  </mergeCells>
  <conditionalFormatting sqref="C42 C19 C17 C15 C38 C40">
    <cfRule type="cellIs" priority="9" dxfId="39" operator="equal" stopIfTrue="1">
      <formula>0</formula>
    </cfRule>
  </conditionalFormatting>
  <conditionalFormatting sqref="F53:F57 G22:H22 D22:E22 D45:E47 D31:E33 D6:E10 G45:H47 G6:H10 G33:H33">
    <cfRule type="cellIs" priority="10" dxfId="23" operator="equal" stopIfTrue="1">
      <formula>""</formula>
    </cfRule>
  </conditionalFormatting>
  <conditionalFormatting sqref="F45:F47 F22 F6:F10 F33">
    <cfRule type="expression" priority="11" dxfId="23" stopIfTrue="1">
      <formula>AND($B6="",$D6="",$E6="")</formula>
    </cfRule>
  </conditionalFormatting>
  <conditionalFormatting sqref="I45:I47 I22 I6:I10 I33">
    <cfRule type="expression" priority="12" dxfId="23" stopIfTrue="1">
      <formula>AND($B6="",$G6="",$H6="")</formula>
    </cfRule>
  </conditionalFormatting>
  <conditionalFormatting sqref="J45:J47 J22 J6:J10 J33">
    <cfRule type="expression" priority="13" dxfId="23" stopIfTrue="1">
      <formula>AND($B6="",$F6="",$I6="")</formula>
    </cfRule>
  </conditionalFormatting>
  <conditionalFormatting sqref="G32:H32">
    <cfRule type="cellIs" priority="5" dxfId="23" operator="equal" stopIfTrue="1">
      <formula>""</formula>
    </cfRule>
  </conditionalFormatting>
  <conditionalFormatting sqref="F32">
    <cfRule type="expression" priority="6" dxfId="23" stopIfTrue="1">
      <formula>AND($B32="",$D32="",$E32="")</formula>
    </cfRule>
  </conditionalFormatting>
  <conditionalFormatting sqref="I32">
    <cfRule type="expression" priority="7" dxfId="23" stopIfTrue="1">
      <formula>AND($B32="",$G32="",$H32="")</formula>
    </cfRule>
  </conditionalFormatting>
  <conditionalFormatting sqref="J32">
    <cfRule type="expression" priority="8" dxfId="23" stopIfTrue="1">
      <formula>AND($B32="",$F32="",$I32="")</formula>
    </cfRule>
  </conditionalFormatting>
  <conditionalFormatting sqref="G31:H31">
    <cfRule type="cellIs" priority="1" dxfId="23" operator="equal" stopIfTrue="1">
      <formula>""</formula>
    </cfRule>
  </conditionalFormatting>
  <conditionalFormatting sqref="F31">
    <cfRule type="expression" priority="2" dxfId="23" stopIfTrue="1">
      <formula>AND($B31="",$D31="",$E31="")</formula>
    </cfRule>
  </conditionalFormatting>
  <conditionalFormatting sqref="I31">
    <cfRule type="expression" priority="3" dxfId="23" stopIfTrue="1">
      <formula>AND($B31="",$G31="",$H31="")</formula>
    </cfRule>
  </conditionalFormatting>
  <conditionalFormatting sqref="J31">
    <cfRule type="expression" priority="4" dxfId="23" stopIfTrue="1">
      <formula>AND($B31="",$F31="",$I31="")</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drawing r:id="rId3"/>
  <legacyDrawing r:id="rId2"/>
</worksheet>
</file>

<file path=xl/worksheets/sheet14.xml><?xml version="1.0" encoding="utf-8"?>
<worksheet xmlns="http://schemas.openxmlformats.org/spreadsheetml/2006/main" xmlns:r="http://schemas.openxmlformats.org/officeDocument/2006/relationships">
  <sheetPr>
    <tabColor indexed="10"/>
  </sheetPr>
  <dimension ref="A1:M42"/>
  <sheetViews>
    <sheetView showGridLines="0" zoomScalePageLayoutView="0" workbookViewId="0" topLeftCell="A1">
      <pane ySplit="5" topLeftCell="A6" activePane="bottomLeft" state="frozen"/>
      <selection pane="topLeft" activeCell="E12" sqref="E12:M18"/>
      <selection pane="bottomLeft" activeCell="H9" sqref="H9"/>
    </sheetView>
  </sheetViews>
  <sheetFormatPr defaultColWidth="0" defaultRowHeight="0" customHeight="1" zeroHeight="1"/>
  <cols>
    <col min="1" max="1" width="2.7109375" style="233" customWidth="1"/>
    <col min="2" max="2" width="20.7109375" style="233" customWidth="1"/>
    <col min="3" max="3" width="6.7109375" style="233" customWidth="1"/>
    <col min="4" max="4" width="5.28125" style="233" customWidth="1"/>
    <col min="5" max="5" width="10.7109375" style="233" customWidth="1"/>
    <col min="6" max="7" width="4.7109375" style="233" customWidth="1"/>
    <col min="8" max="8" width="10.7109375" style="233" customWidth="1"/>
    <col min="9" max="9" width="9.7109375" style="233" customWidth="1"/>
    <col min="10" max="10" width="10.7109375" style="233" customWidth="1"/>
    <col min="11" max="11" width="2.7109375" style="233" customWidth="1"/>
    <col min="12" max="12" width="0.85546875" style="1" customWidth="1"/>
    <col min="13" max="13" width="19.7109375" style="1" customWidth="1"/>
    <col min="14" max="16384" width="11.57421875" style="233" hidden="1" customWidth="1"/>
  </cols>
  <sheetData>
    <row r="1" spans="1:13" ht="24.75" customHeight="1">
      <c r="A1" s="179"/>
      <c r="B1" s="180" t="str">
        <f>"Anlagenverzeichnis "&amp;IF('[2]AV'!A1="","",'[2]AV'!A1)</f>
        <v>Anlagenverzeichnis 2007</v>
      </c>
      <c r="C1" s="180"/>
      <c r="D1" s="180"/>
      <c r="E1" s="180"/>
      <c r="F1" s="180"/>
      <c r="G1" s="180"/>
      <c r="H1" s="180"/>
      <c r="I1" s="180"/>
      <c r="J1" s="180"/>
      <c r="K1" s="180"/>
      <c r="L1" s="459"/>
      <c r="M1" s="1163" t="s">
        <v>520</v>
      </c>
    </row>
    <row r="2" spans="12:13" ht="30" customHeight="1">
      <c r="L2" s="462"/>
      <c r="M2" s="1163"/>
    </row>
    <row r="3" spans="2:13" s="220" customFormat="1" ht="15.75" customHeight="1">
      <c r="B3" s="1147" t="str">
        <f>"INVENTURLISTE FÜR DAS JAHR "&amp;IF('[2]AV'!A1="","",'[2]AV'!A1)</f>
        <v>INVENTURLISTE FÜR DAS JAHR 2007</v>
      </c>
      <c r="C3" s="1147"/>
      <c r="D3" s="1147"/>
      <c r="E3" s="1147"/>
      <c r="F3" s="1147"/>
      <c r="G3" s="1147"/>
      <c r="H3" s="1147"/>
      <c r="I3" s="1181"/>
      <c r="J3" s="1181"/>
      <c r="L3" s="465"/>
      <c r="M3" s="1163"/>
    </row>
    <row r="4" spans="2:13" s="220" customFormat="1" ht="15.75" customHeight="1">
      <c r="B4" s="194"/>
      <c r="C4" s="182" t="s">
        <v>456</v>
      </c>
      <c r="D4" s="182" t="s">
        <v>457</v>
      </c>
      <c r="E4" s="195" t="s">
        <v>458</v>
      </c>
      <c r="F4" s="182" t="s">
        <v>459</v>
      </c>
      <c r="G4" s="182" t="s">
        <v>460</v>
      </c>
      <c r="H4" s="195" t="s">
        <v>461</v>
      </c>
      <c r="I4" s="195" t="s">
        <v>462</v>
      </c>
      <c r="J4" s="195" t="s">
        <v>463</v>
      </c>
      <c r="L4" s="465"/>
      <c r="M4" s="1163"/>
    </row>
    <row r="5" spans="2:13" s="220" customFormat="1" ht="15.75" customHeight="1">
      <c r="B5" s="194"/>
      <c r="C5" s="182" t="s">
        <v>464</v>
      </c>
      <c r="D5" s="182" t="s">
        <v>465</v>
      </c>
      <c r="E5" s="195" t="s">
        <v>466</v>
      </c>
      <c r="F5" s="182" t="s">
        <v>467</v>
      </c>
      <c r="G5" s="182" t="s">
        <v>468</v>
      </c>
      <c r="H5" s="585">
        <f>IF('[2]AV'!A1="","",'[2]AV'!A1)</f>
        <v>2007</v>
      </c>
      <c r="I5" s="364" t="s">
        <v>469</v>
      </c>
      <c r="J5" s="585">
        <f>IF('[2]AV'!A1="","",'[2]AV'!A1)</f>
        <v>2007</v>
      </c>
      <c r="L5" s="465"/>
      <c r="M5" s="1163"/>
    </row>
    <row r="6" spans="2:13" s="220" customFormat="1" ht="19.5" customHeight="1">
      <c r="B6" s="194" t="str">
        <f>IF('[2]AV'!B12="","",'[2]AV'!B12)</f>
        <v>Grundverbesserungen</v>
      </c>
      <c r="C6" s="182"/>
      <c r="D6" s="182"/>
      <c r="E6" s="182"/>
      <c r="F6" s="182"/>
      <c r="G6" s="182"/>
      <c r="H6" s="182"/>
      <c r="I6" s="182"/>
      <c r="J6" s="182"/>
      <c r="L6" s="465"/>
      <c r="M6" s="1163"/>
    </row>
    <row r="7" spans="2:13" s="220" customFormat="1" ht="15.75" customHeight="1">
      <c r="B7" s="183" t="str">
        <f>IF('[2]AV'!C15="","",'[2]AV'!C15)</f>
        <v>Maulwurfsdrainage</v>
      </c>
      <c r="C7" s="586">
        <f>IF('[2]AV'!E15="","",'[2]AV'!E15&amp;" "&amp;'[2]AV'!F15)</f>
      </c>
      <c r="D7" s="347">
        <f>IF('[2]AV'!H15="","",'[2]AV'!H15)</f>
        <v>1984</v>
      </c>
      <c r="E7" s="198">
        <f>IF('[2]AV'!Q15="","",'[2]AV'!Q15)</f>
        <v>850</v>
      </c>
      <c r="F7" s="352">
        <f>IF('[2]AV'!L15="","",'[2]AV'!L15)</f>
        <v>20</v>
      </c>
      <c r="G7" s="712">
        <f>$H$5-D7</f>
        <v>23</v>
      </c>
      <c r="H7" s="198">
        <f>IF(G7&lt;F7,E7-((E7/F7)*G7),1)</f>
        <v>1</v>
      </c>
      <c r="I7" s="198">
        <f>IF(G7&gt;=F7,0,E7/F7)</f>
        <v>0</v>
      </c>
      <c r="J7" s="198">
        <f>IF(G7+1&gt;=F7,1,H7-I7)</f>
        <v>1</v>
      </c>
      <c r="L7" s="465"/>
      <c r="M7" s="466"/>
    </row>
    <row r="8" spans="2:13" s="220" customFormat="1" ht="15.75" customHeight="1" thickBot="1">
      <c r="B8" s="183">
        <f>IF('[2]AV'!C17="","",'[2]AV'!C17)</f>
      </c>
      <c r="C8" s="586">
        <f>IF('[2]AV'!E17="","",'[2]AV'!E17&amp;" "&amp;'[2]AV'!F17)</f>
      </c>
      <c r="D8" s="347">
        <f>IF('[2]AV'!H17="","",'[2]AV'!H17)</f>
      </c>
      <c r="E8" s="198">
        <f>IF('[2]AV'!Q17="","",'[2]AV'!Q17)</f>
      </c>
      <c r="F8" s="352">
        <f>IF('[2]AV'!L17="","",'[2]AV'!L17)</f>
      </c>
      <c r="G8" s="712"/>
      <c r="H8" s="199"/>
      <c r="I8" s="199"/>
      <c r="J8" s="199"/>
      <c r="L8" s="465"/>
      <c r="M8" s="466"/>
    </row>
    <row r="9" spans="2:13" s="220" customFormat="1" ht="15.75" customHeight="1" thickBot="1">
      <c r="B9" s="193" t="str">
        <f>"Summe "&amp;B6</f>
        <v>Summe Grundverbesserungen</v>
      </c>
      <c r="C9" s="587"/>
      <c r="D9" s="587"/>
      <c r="E9" s="587"/>
      <c r="F9" s="587"/>
      <c r="G9" s="587"/>
      <c r="H9" s="588"/>
      <c r="I9" s="588"/>
      <c r="J9" s="588"/>
      <c r="L9" s="465"/>
      <c r="M9" s="466"/>
    </row>
    <row r="10" spans="2:13" s="220" customFormat="1" ht="19.5" customHeight="1">
      <c r="B10" s="194" t="str">
        <f>IF('[2]AV'!B19="","",'[2]AV'!B19)</f>
        <v>Gebäude und bauliche Anlagen</v>
      </c>
      <c r="C10" s="194"/>
      <c r="D10" s="194"/>
      <c r="E10" s="194"/>
      <c r="F10" s="194"/>
      <c r="G10" s="194"/>
      <c r="H10" s="194"/>
      <c r="I10" s="194"/>
      <c r="J10" s="194"/>
      <c r="L10" s="462"/>
      <c r="M10" s="475"/>
    </row>
    <row r="11" spans="2:13" s="220" customFormat="1" ht="15.75" customHeight="1" thickBot="1">
      <c r="B11" s="183" t="str">
        <f>IF('[2]AV'!C22="","",'[2]AV'!C22)</f>
        <v>Rinderstall (Warmstall)</v>
      </c>
      <c r="C11" s="586" t="str">
        <f>IF(Geb!J74="","noch leer",Geb!J74)</f>
        <v>noch leer</v>
      </c>
      <c r="D11" s="352">
        <f>IF(Geb!B6="","noch leer",Geb!B6)</f>
        <v>1996</v>
      </c>
      <c r="E11" s="806" t="str">
        <f>IF(Geb!J76="","noch leer",Geb!J76)</f>
        <v>noch leer</v>
      </c>
      <c r="F11" s="788">
        <f>IF(Geb!B7="","",Geb!B7)</f>
        <v>45</v>
      </c>
      <c r="G11" s="792">
        <f>$H$5-D11</f>
        <v>11</v>
      </c>
      <c r="H11" s="199" t="str">
        <f>IF(Geb!J78="","noch leer",Geb!J78)</f>
        <v>noch leer</v>
      </c>
      <c r="I11" s="199" t="str">
        <f>IF(Geb!J80="","noch leer",Geb!J80)</f>
        <v>noch leer</v>
      </c>
      <c r="J11" s="199" t="str">
        <f>IF(Geb!J82="","noch leer",Geb!J82)</f>
        <v>noch leer</v>
      </c>
      <c r="L11" s="465"/>
      <c r="M11" s="466"/>
    </row>
    <row r="12" spans="2:13" s="220" customFormat="1" ht="15.75" customHeight="1" thickBot="1">
      <c r="B12" s="183" t="str">
        <f>IF('[2]AV'!C24="","",'[2]AV'!C24)</f>
        <v>Schweinestall</v>
      </c>
      <c r="C12" s="586" t="str">
        <f>IF('[2]AV'!E24="","",'[2]AV'!E24&amp;" "&amp;'[2]AV'!F24)</f>
        <v>350 </v>
      </c>
      <c r="D12" s="347">
        <f>IF('[2]AV'!H24="","",'[2]AV'!H24)</f>
        <v>1982</v>
      </c>
      <c r="E12" s="790">
        <f>IF('[2]AV'!Q24="","",'[2]AV'!Q24)</f>
        <v>36113</v>
      </c>
      <c r="F12" s="352">
        <f>IF('[2]AV'!L24="","",'[2]AV'!L24)</f>
        <v>40</v>
      </c>
      <c r="G12" s="897">
        <f>$H$5-D12</f>
        <v>25</v>
      </c>
      <c r="H12" s="899"/>
      <c r="I12" s="899"/>
      <c r="J12" s="899"/>
      <c r="L12" s="465"/>
      <c r="M12" s="466"/>
    </row>
    <row r="13" spans="2:13" s="220" customFormat="1" ht="15.75" customHeight="1">
      <c r="B13" s="183" t="str">
        <f>IF('[2]AV'!C26="","",'[2]AV'!C26)</f>
        <v>Milchverarbeitungsraum</v>
      </c>
      <c r="C13" s="586">
        <f>IF('[2]AV'!E26="","",'[2]AV'!E26&amp;" "&amp;'[2]AV'!F26)</f>
      </c>
      <c r="D13" s="347">
        <f>IF('[2]AV'!H26="","",'[2]AV'!H26)</f>
        <v>1999</v>
      </c>
      <c r="E13" s="790">
        <f>IF('[2]AV'!Q26="","",'[2]AV'!Q26)</f>
        <v>5235</v>
      </c>
      <c r="F13" s="352">
        <f>IF('[2]AV'!L26="","",'[2]AV'!L26)</f>
        <v>30</v>
      </c>
      <c r="G13" s="789">
        <f>$H$5-D13</f>
        <v>8</v>
      </c>
      <c r="H13" s="790">
        <f>IF(G13&lt;F13,E13-((E13/F13)*G13),1)</f>
        <v>3839</v>
      </c>
      <c r="I13" s="790">
        <f>IF(G13&gt;=F13,0,E13/F13)</f>
        <v>174.5</v>
      </c>
      <c r="J13" s="790">
        <f>IF(G13+1&gt;=F13,1,H13-I13)</f>
        <v>3664.5</v>
      </c>
      <c r="L13" s="482"/>
      <c r="M13" s="466"/>
    </row>
    <row r="14" spans="2:13" s="220" customFormat="1" ht="15.75" customHeight="1">
      <c r="B14" s="183" t="str">
        <f>IF('[2]AV'!C28="","",'[2]AV'!C28)</f>
        <v>Maschinenschuppen</v>
      </c>
      <c r="C14" s="586">
        <f>IF('[2]AV'!E28="","",'[2]AV'!E28&amp;" "&amp;'[2]AV'!F28)</f>
      </c>
      <c r="D14" s="347">
        <f>IF('[2]AV'!H28="","",'[2]AV'!H28)</f>
        <v>1970</v>
      </c>
      <c r="E14" s="198">
        <f>IF('[2]AV'!Q28="","",'[2]AV'!Q28)</f>
        <v>4520</v>
      </c>
      <c r="F14" s="352">
        <f>IF('[2]AV'!L28="","",'[2]AV'!L28)</f>
        <v>40</v>
      </c>
      <c r="G14" s="712">
        <f>$H$5-D14</f>
        <v>37</v>
      </c>
      <c r="H14" s="198">
        <f>IF(G14&lt;F14,E14-((E14/F14)*G14),1)</f>
        <v>339</v>
      </c>
      <c r="I14" s="198">
        <f>IF(G14&gt;=F14,0,E14/F14)</f>
        <v>113</v>
      </c>
      <c r="J14" s="198">
        <f>IF(G14+1&gt;=F14,1,H14-I14)</f>
        <v>226</v>
      </c>
      <c r="L14" s="482"/>
      <c r="M14" s="466"/>
    </row>
    <row r="15" spans="2:13" s="220" customFormat="1" ht="15.75" customHeight="1">
      <c r="B15" s="183" t="str">
        <f>IF('[2]AV'!C30="","",'[2]AV'!C30)</f>
        <v>Garage mit Lagerraum</v>
      </c>
      <c r="C15" s="586">
        <f>IF('[2]AV'!E30="","",'[2]AV'!E30&amp;" "&amp;'[2]AV'!F30)</f>
      </c>
      <c r="D15" s="347">
        <f>IF('[2]AV'!H30="","",'[2]AV'!H30)</f>
        <v>1999</v>
      </c>
      <c r="E15" s="198">
        <f>IF('[2]AV'!Q30="","",'[2]AV'!Q30)</f>
        <v>19600</v>
      </c>
      <c r="F15" s="352">
        <f>IF('[2]AV'!L30="","",'[2]AV'!L30)</f>
        <v>25</v>
      </c>
      <c r="G15" s="712">
        <f>$H$5-D15</f>
        <v>8</v>
      </c>
      <c r="H15" s="198">
        <f>IF(G15&lt;F15,E15-((E15/F15)*G15),1)</f>
        <v>13328</v>
      </c>
      <c r="I15" s="198">
        <f>IF(G15&gt;=F15,0,E15/F15)</f>
        <v>784</v>
      </c>
      <c r="J15" s="198">
        <f>IF(G15+1&gt;=F15,1,H15-I15)</f>
        <v>12544</v>
      </c>
      <c r="L15" s="482"/>
      <c r="M15" s="466"/>
    </row>
    <row r="16" spans="2:13" s="220" customFormat="1" ht="15.75" customHeight="1">
      <c r="B16" s="183">
        <f>IF('[2]AV'!C32="","",'[2]AV'!C32)</f>
      </c>
      <c r="C16" s="586">
        <f>IF('[2]AV'!E32="","",'[2]AV'!E32&amp;" "&amp;'[2]AV'!F32)</f>
      </c>
      <c r="D16" s="347">
        <f>IF('[2]AV'!H32="","",'[2]AV'!H32)</f>
      </c>
      <c r="E16" s="198">
        <f>IF('[2]AV'!Q32="","",'[2]AV'!Q32)</f>
      </c>
      <c r="F16" s="352">
        <f>IF('[2]AV'!L32="","",'[2]AV'!L32)</f>
      </c>
      <c r="G16" s="712"/>
      <c r="H16" s="198"/>
      <c r="I16" s="198"/>
      <c r="J16" s="198"/>
      <c r="L16" s="465"/>
      <c r="M16" s="466"/>
    </row>
    <row r="17" spans="2:13" s="220" customFormat="1" ht="15.75" customHeight="1">
      <c r="B17" s="183">
        <f>IF('[2]AV'!C34="","",'[2]AV'!C34)</f>
      </c>
      <c r="C17" s="586">
        <f>IF('[2]AV'!E34="","",'[2]AV'!E34&amp;" "&amp;'[2]AV'!F34)</f>
      </c>
      <c r="D17" s="347">
        <f>IF('[2]AV'!H34="","",'[2]AV'!H34)</f>
      </c>
      <c r="E17" s="198">
        <f>IF('[2]AV'!Q34="","",'[2]AV'!Q34)</f>
      </c>
      <c r="F17" s="352">
        <f>IF('[2]AV'!L34="","",'[2]AV'!L34)</f>
      </c>
      <c r="G17" s="712"/>
      <c r="H17" s="198"/>
      <c r="I17" s="198"/>
      <c r="J17" s="198"/>
      <c r="L17" s="462"/>
      <c r="M17" s="475"/>
    </row>
    <row r="18" spans="2:13" s="220" customFormat="1" ht="15.75" customHeight="1" thickBot="1">
      <c r="B18" s="183">
        <f>IF('[2]AV'!C36="","",'[2]AV'!C36)</f>
      </c>
      <c r="C18" s="586">
        <f>IF('[2]AV'!E36="","",'[2]AV'!E36&amp;" "&amp;'[2]AV'!F36)</f>
      </c>
      <c r="D18" s="347">
        <f>IF('[2]AV'!H36="","",'[2]AV'!H36)</f>
      </c>
      <c r="E18" s="198">
        <f>IF('[2]AV'!Q36="","",'[2]AV'!Q36)</f>
      </c>
      <c r="F18" s="352">
        <f>IF('[2]AV'!L36="","",'[2]AV'!L36)</f>
      </c>
      <c r="G18" s="712"/>
      <c r="H18" s="199"/>
      <c r="I18" s="199"/>
      <c r="J18" s="199"/>
      <c r="L18" s="465"/>
      <c r="M18" s="466"/>
    </row>
    <row r="19" spans="2:13" s="220" customFormat="1" ht="15.75" customHeight="1" thickBot="1">
      <c r="B19" s="193" t="str">
        <f>"Summe "&amp;B10</f>
        <v>Summe Gebäude und bauliche Anlagen</v>
      </c>
      <c r="C19" s="587"/>
      <c r="D19" s="587"/>
      <c r="E19" s="587"/>
      <c r="F19" s="587"/>
      <c r="G19" s="587"/>
      <c r="H19" s="588"/>
      <c r="I19" s="588"/>
      <c r="J19" s="588"/>
      <c r="L19" s="708"/>
      <c r="M19" s="774"/>
    </row>
    <row r="20" spans="2:13" s="220" customFormat="1" ht="19.5" customHeight="1">
      <c r="B20" s="194" t="str">
        <f>IF('[2]AV'!B38="","",'[2]AV'!B38)</f>
        <v>Maschinen und Geräte</v>
      </c>
      <c r="C20" s="194"/>
      <c r="D20" s="194"/>
      <c r="E20" s="194"/>
      <c r="F20" s="194"/>
      <c r="G20" s="194"/>
      <c r="H20" s="589"/>
      <c r="I20" s="589"/>
      <c r="J20" s="194"/>
      <c r="L20" s="708"/>
      <c r="M20" s="774"/>
    </row>
    <row r="21" spans="2:13" s="220" customFormat="1" ht="15.75" customHeight="1">
      <c r="B21" s="183" t="str">
        <f>IF('[2]AV'!C41="","",'[2]AV'!C41)</f>
        <v>Standardtraktor</v>
      </c>
      <c r="C21" s="586" t="str">
        <f>IF('[2]AV'!E41="","",'[2]AV'!E41&amp;" "&amp;'[2]AV'!F41)</f>
        <v>45 KW</v>
      </c>
      <c r="D21" s="347">
        <f>IF('[2]AV'!H41="","",'[2]AV'!H41)</f>
        <v>1994</v>
      </c>
      <c r="E21" s="198">
        <f>IF('[2]AV'!Q41="","",'[2]AV'!Q41)</f>
        <v>26450</v>
      </c>
      <c r="F21" s="352">
        <f>IF('[2]AV'!L41="","",'[2]AV'!L41)</f>
        <v>16</v>
      </c>
      <c r="G21" s="792">
        <f>$H$5-D21</f>
        <v>13</v>
      </c>
      <c r="H21" s="793" t="str">
        <f>IF(MKK1!D9="","noch leer",MKK1!D9)</f>
        <v>noch leer</v>
      </c>
      <c r="I21" s="793" t="str">
        <f>IF(MKK1!D12="","noch leer",MKK1!D12)</f>
        <v>noch leer</v>
      </c>
      <c r="J21" s="793" t="str">
        <f>IF(OR(H21="noch leer",I21="noch leer"),"noch leer",IF(H21&gt;100,H21-I21,1))</f>
        <v>noch leer</v>
      </c>
      <c r="L21" s="708"/>
      <c r="M21" s="774"/>
    </row>
    <row r="22" spans="2:13" s="220" customFormat="1" ht="15.75" customHeight="1">
      <c r="B22" s="183">
        <f>IF('[2]AV'!C43="","",'[2]AV'!C43)</f>
      </c>
      <c r="C22" s="586">
        <f>IF('[2]AV'!E43="","",'[2]AV'!E43&amp;" "&amp;'[2]AV'!F43)</f>
      </c>
      <c r="D22" s="347">
        <f>IF('[2]AV'!H43="","",'[2]AV'!H43)</f>
      </c>
      <c r="E22" s="198">
        <f>IF('[2]AV'!Q43="","",'[2]AV'!Q43)</f>
      </c>
      <c r="F22" s="352">
        <f>IF('[2]AV'!L43="","",'[2]AV'!L43)</f>
      </c>
      <c r="G22" s="712"/>
      <c r="H22" s="790"/>
      <c r="I22" s="790"/>
      <c r="J22" s="790"/>
      <c r="L22" s="708"/>
      <c r="M22" s="774"/>
    </row>
    <row r="23" spans="2:13" s="220" customFormat="1" ht="15.75" customHeight="1">
      <c r="B23" s="183">
        <f>IF('[2]AV'!C45="","",'[2]AV'!C45)</f>
      </c>
      <c r="C23" s="586">
        <f>IF('[2]AV'!E45="","",'[2]AV'!E45&amp;" "&amp;'[2]AV'!F45)</f>
      </c>
      <c r="D23" s="347">
        <f>IF('[2]AV'!H45="","",'[2]AV'!H45)</f>
      </c>
      <c r="E23" s="198">
        <f>IF('[2]AV'!Q45="","",'[2]AV'!Q45)</f>
      </c>
      <c r="F23" s="352">
        <f>IF('[2]AV'!L45="","",'[2]AV'!L45)</f>
      </c>
      <c r="G23" s="712"/>
      <c r="H23" s="199"/>
      <c r="I23" s="199"/>
      <c r="J23" s="199"/>
      <c r="L23" s="708"/>
      <c r="M23" s="774"/>
    </row>
    <row r="24" spans="2:13" s="220" customFormat="1" ht="15.75" customHeight="1">
      <c r="B24" s="183" t="str">
        <f>IF('[2]AV'!C47="","",'[2]AV'!C47)</f>
        <v>Motormäher</v>
      </c>
      <c r="C24" s="586" t="str">
        <f>IF('[2]AV'!E47="","",'[2]AV'!E47&amp;" "&amp;'[2]AV'!F47)</f>
        <v>4 KW</v>
      </c>
      <c r="D24" s="347">
        <f>IF('[2]AV'!H47="","",'[2]AV'!H47)</f>
        <v>1992</v>
      </c>
      <c r="E24" s="198">
        <f>IF('[2]AV'!Q47="","",'[2]AV'!Q47)</f>
        <v>680</v>
      </c>
      <c r="F24" s="352">
        <f>IF('[2]AV'!L47="","",'[2]AV'!L47)</f>
        <v>15</v>
      </c>
      <c r="G24" s="792">
        <f>$H$5-D24</f>
        <v>15</v>
      </c>
      <c r="H24" s="793" t="str">
        <f>IF(MKK2!D9="","noch leer",MKK2!D9)</f>
        <v>noch leer</v>
      </c>
      <c r="I24" s="793" t="str">
        <f>IF(MKK2!D12="","noch leer",MKK2!D12)</f>
        <v>noch leer</v>
      </c>
      <c r="J24" s="793" t="str">
        <f>IF(OR(H24="noch leer",I24="noch leer"),"noch leer",IF(H24&gt;100,H24-I24,1))</f>
        <v>noch leer</v>
      </c>
      <c r="L24" s="708"/>
      <c r="M24" s="774"/>
    </row>
    <row r="25" spans="2:13" s="220" customFormat="1" ht="15.75" customHeight="1">
      <c r="B25" s="183" t="str">
        <f>IF('[2]AV'!C49="","",'[2]AV'!C49)</f>
        <v>Ladewagen</v>
      </c>
      <c r="C25" s="586" t="str">
        <f>IF('[2]AV'!E49="","",'[2]AV'!E49&amp;" "&amp;'[2]AV'!F49)</f>
        <v>20 m³</v>
      </c>
      <c r="D25" s="347">
        <f>IF('[2]AV'!H49="","",'[2]AV'!H49)</f>
        <v>1992</v>
      </c>
      <c r="E25" s="198">
        <f>IF('[2]AV'!Q49="","",'[2]AV'!Q49)</f>
        <v>5900</v>
      </c>
      <c r="F25" s="352">
        <f>IF('[2]AV'!L49="","",'[2]AV'!L49)</f>
        <v>14</v>
      </c>
      <c r="G25" s="712">
        <f aca="true" t="shared" si="0" ref="G25:G34">$H$5-D25</f>
        <v>15</v>
      </c>
      <c r="H25" s="790">
        <f>IF(G25&lt;F25,E25-((E25/F25)*G25),1)</f>
        <v>1</v>
      </c>
      <c r="I25" s="790">
        <f>IF(G25&gt;=F25,0,E25/F25)</f>
        <v>0</v>
      </c>
      <c r="J25" s="790">
        <f>IF(G25+1&gt;=F25,1,H25-I25)</f>
        <v>1</v>
      </c>
      <c r="L25" s="708"/>
      <c r="M25" s="774"/>
    </row>
    <row r="26" spans="2:13" s="220" customFormat="1" ht="15.75" customHeight="1">
      <c r="B26" s="183" t="str">
        <f>IF('[2]AV'!C51="","",'[2]AV'!C51)</f>
        <v>Miststreuer</v>
      </c>
      <c r="C26" s="586" t="str">
        <f>IF('[2]AV'!E51="","",'[2]AV'!E51&amp;" "&amp;'[2]AV'!F51)</f>
        <v>4 t</v>
      </c>
      <c r="D26" s="347">
        <f>IF('[2]AV'!H51="","",'[2]AV'!H51)</f>
        <v>1987</v>
      </c>
      <c r="E26" s="198">
        <f>IF('[2]AV'!Q51="","",'[2]AV'!Q51)</f>
        <v>2100</v>
      </c>
      <c r="F26" s="352">
        <f>IF('[2]AV'!L51="","",'[2]AV'!L51)</f>
        <v>16</v>
      </c>
      <c r="G26" s="712">
        <f>$H$5-D26</f>
        <v>20</v>
      </c>
      <c r="H26" s="198">
        <f>IF(G26&lt;F26,E26-((E26/F26)*G26),1)</f>
        <v>1</v>
      </c>
      <c r="I26" s="198">
        <f>IF(G26&gt;=F26,0,E26/F26)</f>
        <v>0</v>
      </c>
      <c r="J26" s="198">
        <f>IF(G26+1&gt;=F26,1,H26-I26)</f>
        <v>1</v>
      </c>
      <c r="L26" s="708"/>
      <c r="M26" s="774"/>
    </row>
    <row r="27" spans="2:13" s="220" customFormat="1" ht="15.75" customHeight="1" thickBot="1">
      <c r="B27" s="183" t="str">
        <f>IF('[2]AV'!C53="","",'[2]AV'!C53)</f>
        <v>Mähwerk</v>
      </c>
      <c r="C27" s="586" t="str">
        <f>IF('[2]AV'!E53="","",'[2]AV'!E53&amp;" "&amp;'[2]AV'!F53)</f>
        <v>1,65 m</v>
      </c>
      <c r="D27" s="347">
        <f>IF('[2]AV'!H53="","",'[2]AV'!H53)</f>
        <v>1998</v>
      </c>
      <c r="E27" s="198">
        <f>IF('[2]AV'!Q53="","",'[2]AV'!Q53)</f>
        <v>281</v>
      </c>
      <c r="F27" s="352">
        <f>IF('[2]AV'!L53="","",'[2]AV'!L53)</f>
        <v>12</v>
      </c>
      <c r="G27" s="712">
        <f t="shared" si="0"/>
        <v>9</v>
      </c>
      <c r="H27" s="198">
        <f aca="true" t="shared" si="1" ref="H27:H34">IF(G27&lt;F27,E27-((E27/F27)*G27),1)</f>
        <v>70.25</v>
      </c>
      <c r="I27" s="198">
        <f aca="true" t="shared" si="2" ref="I27:I34">IF(G27&gt;=F27,0,E27/F27)</f>
        <v>23.416666666666668</v>
      </c>
      <c r="J27" s="198">
        <f aca="true" t="shared" si="3" ref="J27:J34">IF(G27+1&gt;=F27,1,H27-I27)</f>
        <v>46.83333333333333</v>
      </c>
      <c r="L27" s="708"/>
      <c r="M27" s="774"/>
    </row>
    <row r="28" spans="2:13" s="220" customFormat="1" ht="15.75" customHeight="1" thickBot="1">
      <c r="B28" s="183" t="str">
        <f>IF('[2]AV'!C55="","",'[2]AV'!C55)</f>
        <v>Kreiselzetter</v>
      </c>
      <c r="C28" s="586" t="str">
        <f>IF('[2]AV'!E55="","",'[2]AV'!E55&amp;" "&amp;'[2]AV'!F55)</f>
        <v>2,8 m</v>
      </c>
      <c r="D28" s="347">
        <f>IF('[2]AV'!H55="","",'[2]AV'!H55)</f>
        <v>1991</v>
      </c>
      <c r="E28" s="198">
        <f>IF('[2]AV'!Q55="","",'[2]AV'!Q55)</f>
        <v>1985</v>
      </c>
      <c r="F28" s="352">
        <f>IF('[2]AV'!L55="","",'[2]AV'!L55)</f>
        <v>13</v>
      </c>
      <c r="G28" s="712">
        <f t="shared" si="0"/>
        <v>16</v>
      </c>
      <c r="H28" s="899"/>
      <c r="I28" s="899"/>
      <c r="J28" s="899"/>
      <c r="L28" s="708"/>
      <c r="M28" s="774"/>
    </row>
    <row r="29" spans="2:13" s="220" customFormat="1" ht="15.75" customHeight="1" thickBot="1">
      <c r="B29" s="183" t="str">
        <f>IF('[2]AV'!C57="","",'[2]AV'!C57)</f>
        <v>Heuraupe</v>
      </c>
      <c r="C29" s="586" t="str">
        <f>IF('[2]AV'!E57="","",'[2]AV'!E57&amp;" "&amp;'[2]AV'!F57)</f>
        <v>1,8 m</v>
      </c>
      <c r="D29" s="347">
        <f>IF('[2]AV'!H57="","",'[2]AV'!H57)</f>
        <v>1994</v>
      </c>
      <c r="E29" s="198">
        <f>IF('[2]AV'!Q57="","",'[2]AV'!Q57)</f>
        <v>2230</v>
      </c>
      <c r="F29" s="352">
        <f>IF('[2]AV'!L57="","",'[2]AV'!L57)</f>
        <v>15</v>
      </c>
      <c r="G29" s="712">
        <f t="shared" si="0"/>
        <v>13</v>
      </c>
      <c r="H29" s="899"/>
      <c r="I29" s="899"/>
      <c r="J29" s="899"/>
      <c r="L29" s="708"/>
      <c r="M29" s="774"/>
    </row>
    <row r="30" spans="2:13" s="220" customFormat="1" ht="15.75" customHeight="1" thickBot="1">
      <c r="B30" s="183" t="str">
        <f>IF('[2]AV'!C59="","",'[2]AV'!C59)</f>
        <v>Pflug</v>
      </c>
      <c r="C30" s="586" t="str">
        <f>IF('[2]AV'!E59="","",'[2]AV'!E59&amp;" "&amp;'[2]AV'!F59)</f>
        <v>2 - scharig</v>
      </c>
      <c r="D30" s="347">
        <f>IF('[2]AV'!H59="","",'[2]AV'!H59)</f>
        <v>1997</v>
      </c>
      <c r="E30" s="198">
        <f>IF('[2]AV'!Q59="","",'[2]AV'!Q59)</f>
        <v>1580</v>
      </c>
      <c r="F30" s="352">
        <f>IF('[2]AV'!L59="","",'[2]AV'!L59)</f>
        <v>14</v>
      </c>
      <c r="G30" s="712">
        <f t="shared" si="0"/>
        <v>10</v>
      </c>
      <c r="H30" s="899"/>
      <c r="I30" s="899"/>
      <c r="J30" s="899"/>
      <c r="L30" s="708"/>
      <c r="M30" s="774"/>
    </row>
    <row r="31" spans="2:13" s="220" customFormat="1" ht="15.75" customHeight="1" thickBot="1">
      <c r="B31" s="183" t="str">
        <f>IF('[2]AV'!C61="","",'[2]AV'!C61)</f>
        <v>Vakuumfass</v>
      </c>
      <c r="C31" s="586" t="str">
        <f>IF('[2]AV'!E61="","",'[2]AV'!E61&amp;" "&amp;'[2]AV'!F61)</f>
        <v>3000 lt</v>
      </c>
      <c r="D31" s="347">
        <f>IF('[2]AV'!H61="","",'[2]AV'!H61)</f>
        <v>1980</v>
      </c>
      <c r="E31" s="198">
        <f>IF('[2]AV'!Q61="","",'[2]AV'!Q61)</f>
        <v>1640</v>
      </c>
      <c r="F31" s="352">
        <f>IF('[2]AV'!L61="","",'[2]AV'!L61)</f>
        <v>15</v>
      </c>
      <c r="G31" s="792">
        <f t="shared" si="0"/>
        <v>27</v>
      </c>
      <c r="H31" s="899"/>
      <c r="I31" s="899"/>
      <c r="J31" s="899"/>
      <c r="L31" s="708"/>
      <c r="M31" s="774"/>
    </row>
    <row r="32" spans="2:13" s="220" customFormat="1" ht="15.75" customHeight="1">
      <c r="B32" s="183" t="str">
        <f>IF('[2]AV'!C63="","",'[2]AV'!C63)</f>
        <v>Gebläse</v>
      </c>
      <c r="C32" s="586" t="str">
        <f>IF('[2]AV'!E63="","",'[2]AV'!E63&amp;" "&amp;'[2]AV'!F63)</f>
        <v>4,8 KW</v>
      </c>
      <c r="D32" s="347">
        <f>IF('[2]AV'!H63="","",'[2]AV'!H63)</f>
        <v>1982</v>
      </c>
      <c r="E32" s="198">
        <f>IF('[2]AV'!Q63="","",'[2]AV'!Q63)</f>
        <v>2200</v>
      </c>
      <c r="F32" s="352">
        <f>IF('[2]AV'!L63="","",'[2]AV'!L63)</f>
        <v>15</v>
      </c>
      <c r="G32" s="712">
        <f t="shared" si="0"/>
        <v>25</v>
      </c>
      <c r="H32" s="790">
        <f t="shared" si="1"/>
        <v>1</v>
      </c>
      <c r="I32" s="790">
        <f t="shared" si="2"/>
        <v>0</v>
      </c>
      <c r="J32" s="790">
        <f t="shared" si="3"/>
        <v>1</v>
      </c>
      <c r="L32" s="708"/>
      <c r="M32" s="774"/>
    </row>
    <row r="33" spans="2:13" s="220" customFormat="1" ht="15.75" customHeight="1">
      <c r="B33" s="183" t="str">
        <f>IF('[2]AV'!C65="","",'[2]AV'!C65)</f>
        <v>Butterfass</v>
      </c>
      <c r="C33" s="586" t="str">
        <f>IF('[2]AV'!E65="","",'[2]AV'!E65&amp;" "&amp;'[2]AV'!F65)</f>
        <v>4,5 lt</v>
      </c>
      <c r="D33" s="347">
        <f>IF('[2]AV'!H65="","",'[2]AV'!H65)</f>
        <v>1994</v>
      </c>
      <c r="E33" s="198">
        <f>IF('[2]AV'!Q65="","",'[2]AV'!Q65)</f>
        <v>1100</v>
      </c>
      <c r="F33" s="352">
        <f>IF('[2]AV'!L65="","",'[2]AV'!L65)</f>
        <v>20</v>
      </c>
      <c r="G33" s="712">
        <f t="shared" si="0"/>
        <v>13</v>
      </c>
      <c r="H33" s="198">
        <f t="shared" si="1"/>
        <v>385</v>
      </c>
      <c r="I33" s="198">
        <f t="shared" si="2"/>
        <v>55</v>
      </c>
      <c r="J33" s="198">
        <f t="shared" si="3"/>
        <v>330</v>
      </c>
      <c r="L33" s="708"/>
      <c r="M33" s="774"/>
    </row>
    <row r="34" spans="2:13" s="220" customFormat="1" ht="15.75" customHeight="1" thickBot="1">
      <c r="B34" s="183" t="str">
        <f>IF('[2]AV'!C67="","",'[2]AV'!C67)</f>
        <v>Zentrifuge</v>
      </c>
      <c r="C34" s="586" t="str">
        <f>IF('[2]AV'!E67="","",'[2]AV'!E67&amp;" "&amp;'[2]AV'!F67)</f>
        <v>9 lt</v>
      </c>
      <c r="D34" s="347">
        <f>IF('[2]AV'!H67="","",'[2]AV'!H67)</f>
        <v>1982</v>
      </c>
      <c r="E34" s="198">
        <f>IF('[2]AV'!Q67="","",'[2]AV'!Q67)</f>
        <v>790</v>
      </c>
      <c r="F34" s="352">
        <f>IF('[2]AV'!L67="","",'[2]AV'!L67)</f>
        <v>20</v>
      </c>
      <c r="G34" s="712">
        <f t="shared" si="0"/>
        <v>25</v>
      </c>
      <c r="H34" s="199">
        <f t="shared" si="1"/>
        <v>1</v>
      </c>
      <c r="I34" s="199">
        <f t="shared" si="2"/>
        <v>0</v>
      </c>
      <c r="J34" s="199">
        <f t="shared" si="3"/>
        <v>1</v>
      </c>
      <c r="L34" s="708"/>
      <c r="M34" s="774"/>
    </row>
    <row r="35" spans="2:13" s="220" customFormat="1" ht="15.75" customHeight="1" thickBot="1">
      <c r="B35" s="183" t="str">
        <f>IF('[2]AV'!C69="","",'[2]AV'!C69)</f>
        <v>Melkmaschine</v>
      </c>
      <c r="C35" s="586" t="str">
        <f>IF('[2]AV'!E69="","",'[2]AV'!E69&amp;" "&amp;'[2]AV'!F69)</f>
        <v>1,25 KW</v>
      </c>
      <c r="D35" s="347">
        <f>IF('[2]AV'!H69="","",'[2]AV'!H69)</f>
        <v>1996</v>
      </c>
      <c r="E35" s="198">
        <f>IF('[2]AV'!Q69="","",'[2]AV'!Q69)</f>
        <v>1850</v>
      </c>
      <c r="F35" s="352">
        <f>IF('[2]AV'!L69="","",'[2]AV'!L69)</f>
        <v>20</v>
      </c>
      <c r="G35" s="792">
        <f>$H$5-D35</f>
        <v>11</v>
      </c>
      <c r="H35" s="899"/>
      <c r="I35" s="899"/>
      <c r="J35" s="899"/>
      <c r="L35" s="708"/>
      <c r="M35" s="774"/>
    </row>
    <row r="36" spans="2:13" s="220" customFormat="1" ht="15.75" customHeight="1" thickBot="1">
      <c r="B36" s="183" t="str">
        <f>IF('[2]AV'!C71="","",'[2]AV'!C71)</f>
        <v>Motorsäge</v>
      </c>
      <c r="C36" s="586" t="str">
        <f>IF('[2]AV'!E71="","",'[2]AV'!E71&amp;" "&amp;'[2]AV'!F71)</f>
        <v>3,2 KW</v>
      </c>
      <c r="D36" s="347">
        <f>IF('[2]AV'!H71="","",'[2]AV'!H71)</f>
        <v>1994</v>
      </c>
      <c r="E36" s="198">
        <f>IF('[2]AV'!Q71="","",'[2]AV'!Q71)</f>
        <v>665</v>
      </c>
      <c r="F36" s="352">
        <f>IF('[2]AV'!L71="","",'[2]AV'!L71)</f>
        <v>12</v>
      </c>
      <c r="G36" s="792">
        <f>$H$5-D36</f>
        <v>13</v>
      </c>
      <c r="H36" s="899"/>
      <c r="I36" s="899"/>
      <c r="J36" s="899"/>
      <c r="L36" s="708"/>
      <c r="M36" s="774"/>
    </row>
    <row r="37" spans="2:13" s="220" customFormat="1" ht="15.75" customHeight="1" thickBot="1">
      <c r="B37" s="183" t="str">
        <f>IF('[2]AV'!C73="","",'[2]AV'!C73)</f>
        <v>PKW-Anhänger</v>
      </c>
      <c r="C37" s="586" t="str">
        <f>IF('[2]AV'!E73="","",'[2]AV'!E73&amp;" "&amp;'[2]AV'!F73)</f>
        <v>650 kg</v>
      </c>
      <c r="D37" s="347">
        <f>IF('[2]AV'!H73="","",'[2]AV'!H73)</f>
        <v>1998</v>
      </c>
      <c r="E37" s="198">
        <f>IF('[2]AV'!Q73="","",'[2]AV'!Q73)</f>
        <v>620</v>
      </c>
      <c r="F37" s="352">
        <f>IF('[2]AV'!L73="","",'[2]AV'!L73)</f>
        <v>16</v>
      </c>
      <c r="G37" s="712">
        <f>$H$5-D37</f>
        <v>9</v>
      </c>
      <c r="H37" s="898">
        <f>IF(G37&lt;F37,E37-((E37/F37)*G37),1)</f>
        <v>271.25</v>
      </c>
      <c r="I37" s="898">
        <f>IF(G37&gt;=F37,0,E37/F37)</f>
        <v>38.75</v>
      </c>
      <c r="J37" s="898">
        <f>IF(G37+1&gt;=F37,1,H37-I37)</f>
        <v>232.5</v>
      </c>
      <c r="L37" s="708"/>
      <c r="M37" s="774"/>
    </row>
    <row r="38" spans="2:13" s="220" customFormat="1" ht="15.75" customHeight="1" thickBot="1">
      <c r="B38" s="183" t="str">
        <f>IF('[2]AV'!C75="","",'[2]AV'!C75)</f>
        <v>Frontlader</v>
      </c>
      <c r="C38" s="586" t="str">
        <f>IF('[2]AV'!E75="","",'[2]AV'!E75&amp;" "&amp;'[2]AV'!F75)</f>
        <v>1 m</v>
      </c>
      <c r="D38" s="347">
        <f>IF('[2]AV'!H75="","",'[2]AV'!H75)</f>
        <v>1978</v>
      </c>
      <c r="E38" s="198">
        <f>IF('[2]AV'!Q75="","",'[2]AV'!Q75)</f>
        <v>950</v>
      </c>
      <c r="F38" s="352">
        <f>IF('[2]AV'!L75="","",'[2]AV'!L75)</f>
        <v>16</v>
      </c>
      <c r="G38" s="792">
        <f>$H$5-D38</f>
        <v>29</v>
      </c>
      <c r="H38" s="899"/>
      <c r="I38" s="899"/>
      <c r="J38" s="899"/>
      <c r="L38" s="708"/>
      <c r="M38" s="774"/>
    </row>
    <row r="39" spans="2:13" s="220" customFormat="1" ht="15.75" customHeight="1">
      <c r="B39" s="183" t="str">
        <f>IF('[2]AV'!C77="","",'[2]AV'!C77)</f>
        <v>Ackerschleppe</v>
      </c>
      <c r="C39" s="586" t="str">
        <f>IF('[2]AV'!E77="","",'[2]AV'!E77&amp;" "&amp;'[2]AV'!F77)</f>
        <v>3 m</v>
      </c>
      <c r="D39" s="347">
        <f>IF('[2]AV'!H77="","",'[2]AV'!H77)</f>
        <v>1983</v>
      </c>
      <c r="E39" s="198">
        <f>IF('[2]AV'!Q77="","",'[2]AV'!Q77)</f>
        <v>425</v>
      </c>
      <c r="F39" s="352">
        <f>IF('[2]AV'!L77="","",'[2]AV'!L77)</f>
        <v>16</v>
      </c>
      <c r="G39" s="712">
        <f>$H$5-D39</f>
        <v>24</v>
      </c>
      <c r="H39" s="790">
        <f>IF(G39&lt;F39,E39-((E39/F39)*G39),1)</f>
        <v>1</v>
      </c>
      <c r="I39" s="790">
        <f>IF(G39&gt;=F39,0,E39/F39)</f>
        <v>0</v>
      </c>
      <c r="J39" s="790">
        <f>IF(G39+1&gt;=F39,1,H39-I39)</f>
        <v>1</v>
      </c>
      <c r="L39" s="708"/>
      <c r="M39" s="774"/>
    </row>
    <row r="40" spans="2:13" s="220" customFormat="1" ht="15.75" customHeight="1" thickBot="1">
      <c r="B40" s="183">
        <f>IF('[2]AV'!C79="","",'[2]AV'!C79)</f>
      </c>
      <c r="C40" s="586">
        <f>IF('[2]AV'!E79="","",'[2]AV'!E79&amp;" "&amp;'[2]AV'!F79)</f>
      </c>
      <c r="D40" s="347">
        <f>IF('[2]AV'!H79="","",'[2]AV'!H79)</f>
      </c>
      <c r="E40" s="198">
        <f>IF('[2]AV'!Q79="","",'[2]AV'!Q79)</f>
      </c>
      <c r="F40" s="352">
        <f>IF('[2]AV'!L79="","",'[2]AV'!L79)</f>
      </c>
      <c r="G40" s="712"/>
      <c r="H40" s="199"/>
      <c r="I40" s="199"/>
      <c r="J40" s="199"/>
      <c r="L40" s="708"/>
      <c r="M40" s="774"/>
    </row>
    <row r="41" spans="2:13" s="220" customFormat="1" ht="15.75" customHeight="1" thickBot="1">
      <c r="B41" s="193" t="str">
        <f>"Summe "&amp;B20</f>
        <v>Summe Maschinen und Geräte</v>
      </c>
      <c r="C41" s="587"/>
      <c r="D41" s="587"/>
      <c r="E41" s="587"/>
      <c r="F41" s="587"/>
      <c r="G41" s="587"/>
      <c r="H41" s="588"/>
      <c r="I41" s="588"/>
      <c r="J41" s="588"/>
      <c r="L41" s="708"/>
      <c r="M41" s="774"/>
    </row>
    <row r="42" spans="12:13" s="220" customFormat="1" ht="15.75" customHeight="1">
      <c r="L42" s="708"/>
      <c r="M42" s="774"/>
    </row>
    <row r="43" ht="16.5" customHeight="1" hidden="1"/>
    <row r="44" ht="16.5" customHeight="1" hidden="1"/>
    <row r="45" ht="16.5" customHeight="1" hidden="1"/>
    <row r="46" ht="16.5" customHeight="1" hidden="1"/>
    <row r="47" ht="16.5" customHeight="1" hidden="1"/>
    <row r="48" ht="16.5" customHeight="1" hidden="1"/>
    <row r="49" ht="16.5" customHeight="1" hidden="1"/>
    <row r="50" ht="16.5" customHeight="1" hidden="1"/>
    <row r="51" ht="16.5" customHeight="1" hidden="1"/>
    <row r="52" ht="16.5" customHeight="1" hidden="1"/>
    <row r="53" ht="16.5" customHeight="1" hidden="1"/>
    <row r="54" ht="16.5" customHeight="1" hidden="1"/>
    <row r="55" ht="16.5" customHeight="1" hidden="1"/>
    <row r="56" ht="16.5" customHeight="1" hidden="1"/>
    <row r="57" ht="16.5" customHeight="1" hidden="1"/>
    <row r="58" ht="16.5" customHeight="1" hidden="1"/>
    <row r="59" ht="16.5" customHeight="1" hidden="1"/>
    <row r="60" ht="16.5" customHeight="1" hidden="1"/>
    <row r="61" ht="16.5" customHeight="1" hidden="1"/>
    <row r="62" ht="16.5" customHeight="1" hidden="1"/>
    <row r="63" ht="16.5" customHeight="1" hidden="1"/>
    <row r="64" ht="16.5" customHeight="1" hidden="1"/>
    <row r="65" ht="16.5" customHeight="1" hidden="1"/>
    <row r="66" ht="16.5" customHeight="1" hidden="1"/>
    <row r="67" ht="16.5" customHeight="1" hidden="1"/>
    <row r="68" ht="16.5" customHeight="1" hidden="1"/>
    <row r="69" ht="16.5" customHeight="1" hidden="1"/>
    <row r="70" ht="16.5" customHeight="1" hidden="1"/>
    <row r="71" ht="16.5" customHeight="1" hidden="1"/>
    <row r="72" ht="16.5" customHeight="1" hidden="1"/>
  </sheetData>
  <sheetProtection sheet="1" objects="1" scenarios="1"/>
  <mergeCells count="3">
    <mergeCell ref="B3:H3"/>
    <mergeCell ref="I3:J3"/>
    <mergeCell ref="M1:M6"/>
  </mergeCells>
  <conditionalFormatting sqref="D7:F7 C21:F21 D11 F11 C12:F12 C24:F39 D13:F15">
    <cfRule type="cellIs" priority="1" dxfId="23" operator="equal" stopIfTrue="1">
      <formula>""</formula>
    </cfRule>
  </conditionalFormatting>
  <conditionalFormatting sqref="G7:J7 G21:J21 G11:J15 G24:J39">
    <cfRule type="expression" priority="2" dxfId="25" stopIfTrue="1">
      <formula>AND($B7="",$C7="",$D7="",$E7="",$F7="")</formula>
    </cfRule>
    <cfRule type="cellIs" priority="3" dxfId="1" operator="equal" stopIfTrue="1">
      <formula>"noch leer"</formula>
    </cfRule>
  </conditionalFormatting>
  <conditionalFormatting sqref="C11 E11">
    <cfRule type="cellIs" priority="4" dxfId="23" operator="equal" stopIfTrue="1">
      <formula>""</formula>
    </cfRule>
    <cfRule type="cellIs" priority="5" dxfId="1" operator="equal" stopIfTrue="1">
      <formula>"noch leer"</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drawing r:id="rId3"/>
  <legacyDrawing r:id="rId2"/>
</worksheet>
</file>

<file path=xl/worksheets/sheet15.xml><?xml version="1.0" encoding="utf-8"?>
<worksheet xmlns="http://schemas.openxmlformats.org/spreadsheetml/2006/main" xmlns:r="http://schemas.openxmlformats.org/officeDocument/2006/relationships">
  <sheetPr>
    <tabColor indexed="10"/>
  </sheetPr>
  <dimension ref="A1:I27"/>
  <sheetViews>
    <sheetView showGridLines="0" zoomScalePageLayoutView="0" workbookViewId="0" topLeftCell="A1">
      <pane ySplit="9" topLeftCell="A10" activePane="bottomLeft" state="frozen"/>
      <selection pane="topLeft" activeCell="E12" sqref="E12:M18"/>
      <selection pane="bottomLeft" activeCell="D8" sqref="D8"/>
    </sheetView>
  </sheetViews>
  <sheetFormatPr defaultColWidth="0" defaultRowHeight="12.75" zeroHeight="1"/>
  <cols>
    <col min="1" max="1" width="2.7109375" style="65" customWidth="1"/>
    <col min="2" max="2" width="26.7109375" style="65" customWidth="1"/>
    <col min="3" max="3" width="7.421875" style="65" customWidth="1"/>
    <col min="4" max="4" width="13.7109375" style="65" customWidth="1"/>
    <col min="5" max="5" width="6.00390625" style="65" customWidth="1"/>
    <col min="6" max="6" width="14.7109375" style="65" customWidth="1"/>
    <col min="7" max="7" width="2.7109375" style="65" customWidth="1"/>
    <col min="8" max="8" width="0.85546875" style="65" customWidth="1"/>
    <col min="9" max="9" width="26.7109375" style="65" customWidth="1"/>
    <col min="10" max="16384" width="14.8515625" style="65" hidden="1" customWidth="1"/>
  </cols>
  <sheetData>
    <row r="1" spans="1:9" ht="24.75" customHeight="1">
      <c r="A1" s="455"/>
      <c r="B1" s="456"/>
      <c r="C1" s="456" t="s">
        <v>391</v>
      </c>
      <c r="D1" s="457" t="str">
        <f>CONCATENATE('[2]MKK1'!C12," - ",'[2]MKK1'!C15," ",'[2]MKK1'!D15)</f>
        <v>Standardtraktor - 45 KW</v>
      </c>
      <c r="E1" s="458"/>
      <c r="F1" s="455"/>
      <c r="G1" s="455"/>
      <c r="H1" s="459"/>
      <c r="I1" s="1163" t="s">
        <v>100</v>
      </c>
    </row>
    <row r="2" spans="1:9" ht="19.5" customHeight="1">
      <c r="A2" s="460"/>
      <c r="B2" s="460"/>
      <c r="C2" s="460"/>
      <c r="D2" s="461"/>
      <c r="E2" s="460"/>
      <c r="F2" s="460"/>
      <c r="G2" s="460"/>
      <c r="H2" s="462"/>
      <c r="I2" s="1163"/>
    </row>
    <row r="3" spans="1:9" ht="15">
      <c r="A3" s="463"/>
      <c r="B3" s="464" t="s">
        <v>392</v>
      </c>
      <c r="C3" s="464"/>
      <c r="D3" s="464"/>
      <c r="E3" s="464"/>
      <c r="F3" s="464"/>
      <c r="G3" s="463"/>
      <c r="H3" s="465"/>
      <c r="I3" s="466"/>
    </row>
    <row r="4" spans="1:9" ht="15">
      <c r="A4" s="463"/>
      <c r="B4" s="467" t="s">
        <v>393</v>
      </c>
      <c r="C4" s="467"/>
      <c r="D4" s="468">
        <f>IF('[2]MKK1'!J17="","",'[2]MKK1'!J17)</f>
        <v>26450</v>
      </c>
      <c r="E4" s="1184"/>
      <c r="F4" s="1185"/>
      <c r="G4" s="463"/>
      <c r="H4" s="465"/>
      <c r="I4" s="466"/>
    </row>
    <row r="5" spans="1:9" ht="15">
      <c r="A5" s="463"/>
      <c r="B5" s="467" t="s">
        <v>394</v>
      </c>
      <c r="C5" s="467"/>
      <c r="D5" s="469">
        <f>IF('[2]MKK1'!J19="","",'[2]MKK1'!J19)</f>
        <v>1994</v>
      </c>
      <c r="E5" s="1186"/>
      <c r="F5" s="1187"/>
      <c r="G5" s="463"/>
      <c r="H5" s="465"/>
      <c r="I5" s="466"/>
    </row>
    <row r="6" spans="1:9" ht="15">
      <c r="A6" s="463"/>
      <c r="B6" s="467" t="s">
        <v>395</v>
      </c>
      <c r="C6" s="467"/>
      <c r="D6" s="470">
        <f>IF('[2]MKK1'!J21="","",'[2]MKK1'!J21)</f>
        <v>16</v>
      </c>
      <c r="E6" s="1186"/>
      <c r="F6" s="1187"/>
      <c r="G6" s="463"/>
      <c r="H6" s="465"/>
      <c r="I6" s="466"/>
    </row>
    <row r="7" spans="1:9" ht="15.75" thickBot="1">
      <c r="A7" s="463"/>
      <c r="B7" s="467" t="s">
        <v>396</v>
      </c>
      <c r="C7" s="467"/>
      <c r="D7" s="471">
        <f>IF('[2]MKK1'!K19="","",'[2]MKK1'!K19)</f>
        <v>160</v>
      </c>
      <c r="E7" s="1186"/>
      <c r="F7" s="1187"/>
      <c r="G7" s="463"/>
      <c r="H7" s="465"/>
      <c r="I7" s="466"/>
    </row>
    <row r="8" spans="1:9" ht="15.75" thickBot="1">
      <c r="A8" s="463"/>
      <c r="B8" s="467" t="s">
        <v>508</v>
      </c>
      <c r="C8" s="467"/>
      <c r="D8" s="472"/>
      <c r="E8" s="1188"/>
      <c r="F8" s="1187"/>
      <c r="G8" s="463"/>
      <c r="H8" s="465"/>
      <c r="I8" s="466"/>
    </row>
    <row r="9" spans="1:9" ht="15.75" thickBot="1">
      <c r="A9" s="463"/>
      <c r="B9" s="467" t="s">
        <v>397</v>
      </c>
      <c r="C9" s="473">
        <f>IF('[2]MKK1'!G21="","",'[2]MKK1'!G21)</f>
        <v>2007</v>
      </c>
      <c r="D9" s="474"/>
      <c r="E9" s="1189"/>
      <c r="F9" s="1190"/>
      <c r="G9" s="463"/>
      <c r="H9" s="465"/>
      <c r="I9" s="466"/>
    </row>
    <row r="10" spans="1:9" ht="9.75" customHeight="1">
      <c r="A10" s="460"/>
      <c r="B10" s="460"/>
      <c r="C10" s="460"/>
      <c r="D10" s="460"/>
      <c r="E10" s="460"/>
      <c r="F10" s="460"/>
      <c r="G10" s="460"/>
      <c r="H10" s="462"/>
      <c r="I10" s="475"/>
    </row>
    <row r="11" spans="1:9" ht="15.75" thickBot="1">
      <c r="A11" s="463"/>
      <c r="B11" s="464" t="s">
        <v>64</v>
      </c>
      <c r="C11" s="476" t="s">
        <v>398</v>
      </c>
      <c r="D11" s="476" t="s">
        <v>399</v>
      </c>
      <c r="E11" s="477"/>
      <c r="F11" s="476" t="s">
        <v>400</v>
      </c>
      <c r="G11" s="463"/>
      <c r="H11" s="465"/>
      <c r="I11" s="466"/>
    </row>
    <row r="12" spans="1:9" ht="15.75" thickBot="1">
      <c r="A12" s="775" t="s">
        <v>469</v>
      </c>
      <c r="B12" s="467" t="s">
        <v>401</v>
      </c>
      <c r="C12" s="478">
        <f>IF(D12="","",100/D6)</f>
      </c>
      <c r="D12" s="474"/>
      <c r="E12" s="1182" t="s">
        <v>402</v>
      </c>
      <c r="F12" s="479" t="str">
        <f>IF(D12="","Afa fehlt!",D12)</f>
        <v>Afa fehlt!</v>
      </c>
      <c r="G12" s="463"/>
      <c r="H12" s="465"/>
      <c r="I12" s="466"/>
    </row>
    <row r="13" spans="1:9" ht="15.75" thickBot="1">
      <c r="A13" s="775" t="s">
        <v>515</v>
      </c>
      <c r="B13" s="467" t="str">
        <f>IF('[2]MKK1'!C26&lt;&gt;"","Unterbringung (U) = "&amp;DOLLAR('[2]MKK1'!C26,2),"Unterbringung (U)")</f>
        <v>Unterbringung (U)</v>
      </c>
      <c r="C13" s="480">
        <f>IF(OR('[2]MKK1'!J24="",'[2]MKK1'!J26&lt;&gt;""),"",'[2]MKK1'!J24)</f>
        <v>0.01</v>
      </c>
      <c r="D13" s="474"/>
      <c r="E13" s="1183"/>
      <c r="F13" s="479" t="str">
        <f>IF(D13="","U in € fehlt!",D13)</f>
        <v>U in € fehlt!</v>
      </c>
      <c r="G13" s="481"/>
      <c r="H13" s="482"/>
      <c r="I13" s="466"/>
    </row>
    <row r="14" spans="1:9" ht="15.75" thickBot="1">
      <c r="A14" s="775" t="s">
        <v>516</v>
      </c>
      <c r="B14" s="467" t="str">
        <f>IF('[2]MKK1'!C32&lt;&gt;"","Versicherung (V) = "&amp;DOLLAR('[2]MKK1'!C32,2),"Versicherung (V)")</f>
        <v>Versicherung (V)</v>
      </c>
      <c r="C14" s="480">
        <f>IF(OR('[2]MKK1'!J30="",'[2]MKK1'!J32&lt;&gt;""),"",'[2]MKK1'!J30)</f>
        <v>0.01</v>
      </c>
      <c r="D14" s="474"/>
      <c r="E14" s="1183"/>
      <c r="F14" s="479" t="str">
        <f>IF(D14="","V in € fehlt!",D14)</f>
        <v>V in € fehlt!</v>
      </c>
      <c r="G14" s="481"/>
      <c r="H14" s="482"/>
      <c r="I14" s="466"/>
    </row>
    <row r="15" spans="1:9" ht="15.75" thickBot="1">
      <c r="A15" s="775" t="s">
        <v>517</v>
      </c>
      <c r="B15" s="467" t="s">
        <v>403</v>
      </c>
      <c r="C15" s="480">
        <f>IF('[2]MKK1'!K24="","",'[2]MKK1'!K24)</f>
        <v>0.03</v>
      </c>
      <c r="D15" s="474"/>
      <c r="E15" s="1183"/>
      <c r="F15" s="483" t="str">
        <f>IF(D15="","Z in € fehlt!",D15)</f>
        <v>Z in € fehlt!</v>
      </c>
      <c r="G15" s="481"/>
      <c r="H15" s="482"/>
      <c r="I15" s="466"/>
    </row>
    <row r="16" spans="1:9" ht="15.75" thickBot="1">
      <c r="A16" s="775"/>
      <c r="B16" s="484"/>
      <c r="C16" s="484"/>
      <c r="D16" s="484"/>
      <c r="E16" s="485" t="s">
        <v>69</v>
      </c>
      <c r="F16" s="486"/>
      <c r="G16" s="463"/>
      <c r="H16" s="465"/>
      <c r="I16" s="466"/>
    </row>
    <row r="17" spans="1:9" ht="9.75" customHeight="1">
      <c r="A17" s="776"/>
      <c r="B17" s="460"/>
      <c r="C17" s="460"/>
      <c r="D17" s="460"/>
      <c r="E17" s="460"/>
      <c r="F17" s="460"/>
      <c r="G17" s="460"/>
      <c r="H17" s="462"/>
      <c r="I17" s="475"/>
    </row>
    <row r="18" spans="1:9" ht="15.75" thickBot="1">
      <c r="A18" s="775"/>
      <c r="B18" s="464" t="s">
        <v>60</v>
      </c>
      <c r="C18" s="476" t="s">
        <v>398</v>
      </c>
      <c r="D18" s="476" t="s">
        <v>404</v>
      </c>
      <c r="E18" s="477"/>
      <c r="F18" s="476" t="s">
        <v>400</v>
      </c>
      <c r="G18" s="463"/>
      <c r="H18" s="465"/>
      <c r="I18" s="466"/>
    </row>
    <row r="19" spans="1:9" ht="15.75" customHeight="1" thickBot="1">
      <c r="A19" s="775" t="s">
        <v>518</v>
      </c>
      <c r="B19" s="467" t="s">
        <v>405</v>
      </c>
      <c r="C19" s="467"/>
      <c r="D19" s="487">
        <f>IF('[2]MKK1'!K26="","",'[2]MKK1'!K26)</f>
        <v>4.21</v>
      </c>
      <c r="E19" s="1182" t="s">
        <v>406</v>
      </c>
      <c r="F19" s="488"/>
      <c r="G19" s="463"/>
      <c r="H19" s="465"/>
      <c r="I19" s="466"/>
    </row>
    <row r="20" spans="1:9" ht="15.75" thickBot="1">
      <c r="A20" s="775" t="s">
        <v>519</v>
      </c>
      <c r="B20" s="489">
        <v>100</v>
      </c>
      <c r="C20" s="480">
        <f>IF('[2]MKK1'!G28="","",'[2]MKK1'!G28)</f>
        <v>0.008</v>
      </c>
      <c r="D20" s="490"/>
      <c r="E20" s="1183"/>
      <c r="F20" s="488"/>
      <c r="G20" s="463"/>
      <c r="H20" s="465"/>
      <c r="I20" s="466"/>
    </row>
    <row r="21" spans="1:9" ht="15.75" thickBot="1">
      <c r="A21" s="463"/>
      <c r="B21" s="491"/>
      <c r="C21" s="491"/>
      <c r="D21" s="491"/>
      <c r="E21" s="485" t="s">
        <v>73</v>
      </c>
      <c r="F21" s="486"/>
      <c r="G21" s="463"/>
      <c r="H21" s="465"/>
      <c r="I21" s="466"/>
    </row>
    <row r="22" spans="1:9" ht="15">
      <c r="A22" s="460"/>
      <c r="B22" s="460"/>
      <c r="C22" s="460"/>
      <c r="D22" s="460"/>
      <c r="E22" s="460"/>
      <c r="F22" s="460"/>
      <c r="G22" s="460"/>
      <c r="H22" s="462"/>
      <c r="I22" s="475"/>
    </row>
    <row r="23" spans="1:9" ht="15.75" thickBot="1">
      <c r="A23" s="463"/>
      <c r="B23" s="464" t="s">
        <v>386</v>
      </c>
      <c r="C23" s="464"/>
      <c r="D23" s="464"/>
      <c r="E23" s="464"/>
      <c r="F23" s="476" t="s">
        <v>407</v>
      </c>
      <c r="G23" s="463"/>
      <c r="H23" s="465"/>
      <c r="I23" s="466"/>
    </row>
    <row r="24" spans="1:9" ht="15.75" thickBot="1">
      <c r="A24" s="463"/>
      <c r="B24" s="492" t="s">
        <v>408</v>
      </c>
      <c r="C24" s="492"/>
      <c r="D24" s="492"/>
      <c r="E24" s="492"/>
      <c r="F24" s="474"/>
      <c r="G24" s="463"/>
      <c r="H24" s="465"/>
      <c r="I24" s="466"/>
    </row>
    <row r="25" spans="1:9" ht="15.75" thickBot="1">
      <c r="A25" s="463"/>
      <c r="B25" s="492" t="s">
        <v>409</v>
      </c>
      <c r="C25" s="492"/>
      <c r="D25" s="492"/>
      <c r="E25" s="492"/>
      <c r="F25" s="474"/>
      <c r="G25" s="463"/>
      <c r="H25" s="465"/>
      <c r="I25" s="466"/>
    </row>
    <row r="26" spans="1:9" ht="15.75" thickBot="1">
      <c r="A26" s="463"/>
      <c r="B26" s="493" t="s">
        <v>410</v>
      </c>
      <c r="C26" s="493"/>
      <c r="D26" s="493"/>
      <c r="E26" s="493"/>
      <c r="F26" s="494"/>
      <c r="G26" s="463"/>
      <c r="H26" s="465"/>
      <c r="I26" s="495"/>
    </row>
    <row r="27" spans="1:9" ht="15">
      <c r="A27" s="496"/>
      <c r="B27" s="496"/>
      <c r="C27" s="496"/>
      <c r="D27" s="496"/>
      <c r="E27" s="496"/>
      <c r="F27" s="496"/>
      <c r="G27" s="496"/>
      <c r="H27" s="497"/>
      <c r="I27" s="495"/>
    </row>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sheetData>
  <sheetProtection sheet="1" objects="1" scenarios="1"/>
  <mergeCells count="4">
    <mergeCell ref="E19:E20"/>
    <mergeCell ref="E4:F9"/>
    <mergeCell ref="E12:E15"/>
    <mergeCell ref="I1:I2"/>
  </mergeCells>
  <conditionalFormatting sqref="F13">
    <cfRule type="cellIs" priority="1" dxfId="1" operator="equal" stopIfTrue="1">
      <formula>"U in € fehlt!"</formula>
    </cfRule>
  </conditionalFormatting>
  <conditionalFormatting sqref="F14">
    <cfRule type="cellIs" priority="2" dxfId="1" operator="equal" stopIfTrue="1">
      <formula>"V in € fehlt!"</formula>
    </cfRule>
  </conditionalFormatting>
  <conditionalFormatting sqref="F15">
    <cfRule type="cellIs" priority="3" dxfId="1" operator="equal" stopIfTrue="1">
      <formula>"Z in € fehlt!"</formula>
    </cfRule>
  </conditionalFormatting>
  <conditionalFormatting sqref="F12 D9">
    <cfRule type="cellIs" priority="4" dxfId="1" operator="equal" stopIfTrue="1">
      <formula>"Afa fehlt!"</formula>
    </cfRule>
  </conditionalFormatting>
  <conditionalFormatting sqref="C12">
    <cfRule type="expression" priority="5" dxfId="7" stopIfTrue="1">
      <formula>$D$12=0</formula>
    </cfRule>
  </conditionalFormatting>
  <conditionalFormatting sqref="C13:C14">
    <cfRule type="cellIs" priority="6" dxfId="2" operator="equal" stopIfTrue="1">
      <formula>""</formula>
    </cfRule>
  </conditionalFormatting>
  <conditionalFormatting sqref="F19">
    <cfRule type="expression" priority="7" dxfId="2" stopIfTrue="1">
      <formula>OR($D$19=0,$D$19="",$D$19="-")</formula>
    </cfRule>
  </conditionalFormatting>
  <conditionalFormatting sqref="D19">
    <cfRule type="cellIs" priority="8" dxfId="2" operator="equal" stopIfTrue="1">
      <formula>0</formula>
    </cfRule>
    <cfRule type="cellIs" priority="9" dxfId="2" operator="equal" stopIfTrue="1">
      <formula>""</formula>
    </cfRule>
    <cfRule type="cellIs" priority="10" dxfId="2" operator="equal" stopIfTrue="1">
      <formula>"-"</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drawing r:id="rId3"/>
  <legacyDrawing r:id="rId2"/>
</worksheet>
</file>

<file path=xl/worksheets/sheet16.xml><?xml version="1.0" encoding="utf-8"?>
<worksheet xmlns="http://schemas.openxmlformats.org/spreadsheetml/2006/main" xmlns:r="http://schemas.openxmlformats.org/officeDocument/2006/relationships">
  <sheetPr>
    <tabColor indexed="10"/>
  </sheetPr>
  <dimension ref="A1:I27"/>
  <sheetViews>
    <sheetView showGridLines="0" zoomScalePageLayoutView="0" workbookViewId="0" topLeftCell="A1">
      <pane ySplit="9" topLeftCell="A10" activePane="bottomLeft" state="frozen"/>
      <selection pane="topLeft" activeCell="E12" sqref="E12:M18"/>
      <selection pane="bottomLeft" activeCell="D8" sqref="D8"/>
    </sheetView>
  </sheetViews>
  <sheetFormatPr defaultColWidth="0" defaultRowHeight="15" customHeight="1" zeroHeight="1"/>
  <cols>
    <col min="1" max="1" width="2.7109375" style="65" customWidth="1"/>
    <col min="2" max="2" width="26.7109375" style="65" customWidth="1"/>
    <col min="3" max="3" width="7.421875" style="65" customWidth="1"/>
    <col min="4" max="4" width="13.7109375" style="65" customWidth="1"/>
    <col min="5" max="5" width="6.00390625" style="65" customWidth="1"/>
    <col min="6" max="6" width="14.7109375" style="65" customWidth="1"/>
    <col min="7" max="7" width="2.7109375" style="65" customWidth="1"/>
    <col min="8" max="8" width="0.85546875" style="65" customWidth="1"/>
    <col min="9" max="9" width="26.7109375" style="65" customWidth="1"/>
    <col min="10" max="16384" width="14.8515625" style="65" hidden="1" customWidth="1"/>
  </cols>
  <sheetData>
    <row r="1" spans="1:9" ht="24.75" customHeight="1">
      <c r="A1" s="455"/>
      <c r="B1" s="456"/>
      <c r="C1" s="456" t="s">
        <v>391</v>
      </c>
      <c r="D1" s="457" t="str">
        <f>CONCATENATE('[2]MKK2'!C12," - ",'[2]MKK2'!C15," ",'[2]MKK2'!D15)</f>
        <v>Motormäher - 4 KW</v>
      </c>
      <c r="E1" s="458"/>
      <c r="F1" s="455"/>
      <c r="G1" s="455"/>
      <c r="H1" s="459"/>
      <c r="I1" s="1163" t="s">
        <v>100</v>
      </c>
    </row>
    <row r="2" spans="1:9" ht="19.5" customHeight="1">
      <c r="A2" s="460"/>
      <c r="B2" s="460"/>
      <c r="C2" s="460"/>
      <c r="D2" s="461"/>
      <c r="E2" s="460"/>
      <c r="F2" s="460"/>
      <c r="G2" s="460"/>
      <c r="H2" s="462"/>
      <c r="I2" s="1163"/>
    </row>
    <row r="3" spans="1:9" ht="15">
      <c r="A3" s="463"/>
      <c r="B3" s="464" t="s">
        <v>392</v>
      </c>
      <c r="C3" s="464"/>
      <c r="D3" s="464"/>
      <c r="E3" s="464"/>
      <c r="F3" s="464"/>
      <c r="G3" s="463"/>
      <c r="H3" s="465"/>
      <c r="I3" s="466"/>
    </row>
    <row r="4" spans="1:9" ht="15">
      <c r="A4" s="463"/>
      <c r="B4" s="467" t="s">
        <v>393</v>
      </c>
      <c r="C4" s="467"/>
      <c r="D4" s="468">
        <f>IF('[2]MKK2'!J17="","",'[2]MKK2'!J17)</f>
        <v>680</v>
      </c>
      <c r="E4" s="1184"/>
      <c r="F4" s="1185"/>
      <c r="G4" s="463"/>
      <c r="H4" s="465"/>
      <c r="I4" s="466"/>
    </row>
    <row r="5" spans="1:9" ht="15">
      <c r="A5" s="463"/>
      <c r="B5" s="467" t="s">
        <v>394</v>
      </c>
      <c r="C5" s="467"/>
      <c r="D5" s="469">
        <f>IF('[2]MKK2'!J19="","",'[2]MKK2'!J19)</f>
        <v>1992</v>
      </c>
      <c r="E5" s="1186"/>
      <c r="F5" s="1187"/>
      <c r="G5" s="463"/>
      <c r="H5" s="465"/>
      <c r="I5" s="466"/>
    </row>
    <row r="6" spans="1:9" ht="15">
      <c r="A6" s="463"/>
      <c r="B6" s="467" t="s">
        <v>395</v>
      </c>
      <c r="C6" s="467"/>
      <c r="D6" s="470">
        <f>IF('[2]MKK2'!J21="","",'[2]MKK2'!J21)</f>
        <v>15</v>
      </c>
      <c r="E6" s="1186"/>
      <c r="F6" s="1187"/>
      <c r="G6" s="463"/>
      <c r="H6" s="465"/>
      <c r="I6" s="466"/>
    </row>
    <row r="7" spans="1:9" ht="15.75" thickBot="1">
      <c r="A7" s="463"/>
      <c r="B7" s="467" t="s">
        <v>396</v>
      </c>
      <c r="C7" s="467"/>
      <c r="D7" s="471">
        <f>IF('[2]MKK2'!K19="","",'[2]MKK2'!K19)</f>
        <v>24</v>
      </c>
      <c r="E7" s="1186"/>
      <c r="F7" s="1187"/>
      <c r="G7" s="463"/>
      <c r="H7" s="465"/>
      <c r="I7" s="466"/>
    </row>
    <row r="8" spans="1:9" ht="15.75" thickBot="1">
      <c r="A8" s="463"/>
      <c r="B8" s="467" t="s">
        <v>508</v>
      </c>
      <c r="C8" s="467"/>
      <c r="D8" s="472"/>
      <c r="E8" s="1188"/>
      <c r="F8" s="1187"/>
      <c r="G8" s="463"/>
      <c r="H8" s="465"/>
      <c r="I8" s="466"/>
    </row>
    <row r="9" spans="1:9" ht="15.75" thickBot="1">
      <c r="A9" s="463"/>
      <c r="B9" s="467" t="s">
        <v>397</v>
      </c>
      <c r="C9" s="473">
        <f>IF('[2]MKK2'!G21="","",'[2]MKK2'!G21)</f>
        <v>2007</v>
      </c>
      <c r="D9" s="474"/>
      <c r="E9" s="1189"/>
      <c r="F9" s="1190"/>
      <c r="G9" s="463"/>
      <c r="H9" s="465"/>
      <c r="I9" s="466"/>
    </row>
    <row r="10" spans="1:9" ht="9.75" customHeight="1">
      <c r="A10" s="460"/>
      <c r="B10" s="460"/>
      <c r="C10" s="460"/>
      <c r="D10" s="460"/>
      <c r="E10" s="460"/>
      <c r="F10" s="460"/>
      <c r="G10" s="460"/>
      <c r="H10" s="462"/>
      <c r="I10" s="475"/>
    </row>
    <row r="11" spans="1:9" ht="15.75" thickBot="1">
      <c r="A11" s="463"/>
      <c r="B11" s="464" t="s">
        <v>64</v>
      </c>
      <c r="C11" s="476" t="s">
        <v>398</v>
      </c>
      <c r="D11" s="476" t="s">
        <v>399</v>
      </c>
      <c r="E11" s="477"/>
      <c r="F11" s="476" t="s">
        <v>400</v>
      </c>
      <c r="G11" s="463"/>
      <c r="H11" s="465"/>
      <c r="I11" s="466"/>
    </row>
    <row r="12" spans="1:9" ht="15.75" thickBot="1">
      <c r="A12" s="775" t="s">
        <v>469</v>
      </c>
      <c r="B12" s="467" t="s">
        <v>401</v>
      </c>
      <c r="C12" s="478">
        <f>IF(D12="","",100/D6)</f>
      </c>
      <c r="D12" s="474"/>
      <c r="E12" s="1182" t="s">
        <v>402</v>
      </c>
      <c r="F12" s="479" t="str">
        <f>IF(D12="","Afa fehlt!",D12)</f>
        <v>Afa fehlt!</v>
      </c>
      <c r="G12" s="463"/>
      <c r="H12" s="465"/>
      <c r="I12" s="466"/>
    </row>
    <row r="13" spans="1:9" ht="15.75" thickBot="1">
      <c r="A13" s="775" t="s">
        <v>515</v>
      </c>
      <c r="B13" s="467" t="str">
        <f>IF('[2]MKK2'!C26&lt;&gt;"","Unterbringung (U) = "&amp;DOLLAR('[2]MKK2'!C26,2),"Unterbringung (U)")</f>
        <v>Unterbringung (U)</v>
      </c>
      <c r="C13" s="480">
        <f>IF(OR('[2]MKK2'!J24="",'[2]MKK2'!J26&lt;&gt;""),"",'[2]MKK2'!J24)</f>
        <v>0.01</v>
      </c>
      <c r="D13" s="474"/>
      <c r="E13" s="1183"/>
      <c r="F13" s="479" t="str">
        <f>IF(D13="","U in € fehlt!",D13)</f>
        <v>U in € fehlt!</v>
      </c>
      <c r="G13" s="481"/>
      <c r="H13" s="482"/>
      <c r="I13" s="466"/>
    </row>
    <row r="14" spans="1:9" ht="15.75" thickBot="1">
      <c r="A14" s="775" t="s">
        <v>516</v>
      </c>
      <c r="B14" s="467" t="str">
        <f>IF('[2]MKK2'!C32&lt;&gt;"","Versicherung (V) = "&amp;DOLLAR('[2]MKK2'!C32,2),"Versicherung (V)")</f>
        <v>Versicherung (V)</v>
      </c>
      <c r="C14" s="480">
        <f>IF(OR('[2]MKK2'!J30="",'[2]MKK2'!J32&lt;&gt;""),"",'[2]MKK2'!J30)</f>
        <v>0.01</v>
      </c>
      <c r="D14" s="474"/>
      <c r="E14" s="1183"/>
      <c r="F14" s="479" t="str">
        <f>IF(D14="","V in € fehlt!",D14)</f>
        <v>V in € fehlt!</v>
      </c>
      <c r="G14" s="481"/>
      <c r="H14" s="482"/>
      <c r="I14" s="466"/>
    </row>
    <row r="15" spans="1:9" ht="15.75" thickBot="1">
      <c r="A15" s="775" t="s">
        <v>517</v>
      </c>
      <c r="B15" s="467" t="s">
        <v>403</v>
      </c>
      <c r="C15" s="480">
        <f>IF('[2]MKK2'!K24="","",'[2]MKK2'!K24)</f>
        <v>0.03</v>
      </c>
      <c r="D15" s="474"/>
      <c r="E15" s="1183"/>
      <c r="F15" s="483" t="str">
        <f>IF(D15="","Z in € fehlt!",D15)</f>
        <v>Z in € fehlt!</v>
      </c>
      <c r="G15" s="481"/>
      <c r="H15" s="482"/>
      <c r="I15" s="466"/>
    </row>
    <row r="16" spans="1:9" ht="15.75" thickBot="1">
      <c r="A16" s="775"/>
      <c r="B16" s="484"/>
      <c r="C16" s="484"/>
      <c r="D16" s="484"/>
      <c r="E16" s="485" t="s">
        <v>69</v>
      </c>
      <c r="F16" s="486"/>
      <c r="G16" s="463"/>
      <c r="H16" s="465"/>
      <c r="I16" s="466"/>
    </row>
    <row r="17" spans="1:9" ht="9.75" customHeight="1">
      <c r="A17" s="776"/>
      <c r="B17" s="460"/>
      <c r="C17" s="460"/>
      <c r="D17" s="460"/>
      <c r="E17" s="460"/>
      <c r="F17" s="460"/>
      <c r="G17" s="460"/>
      <c r="H17" s="462"/>
      <c r="I17" s="475"/>
    </row>
    <row r="18" spans="1:9" ht="15.75" thickBot="1">
      <c r="A18" s="775"/>
      <c r="B18" s="464" t="s">
        <v>60</v>
      </c>
      <c r="C18" s="476" t="s">
        <v>398</v>
      </c>
      <c r="D18" s="476" t="s">
        <v>404</v>
      </c>
      <c r="E18" s="477"/>
      <c r="F18" s="476" t="s">
        <v>400</v>
      </c>
      <c r="G18" s="463"/>
      <c r="H18" s="465"/>
      <c r="I18" s="466"/>
    </row>
    <row r="19" spans="1:9" ht="15.75" customHeight="1" thickBot="1">
      <c r="A19" s="775" t="s">
        <v>518</v>
      </c>
      <c r="B19" s="467" t="s">
        <v>405</v>
      </c>
      <c r="C19" s="467"/>
      <c r="D19" s="487">
        <f>IF('[2]MKK2'!K26="","",'[2]MKK2'!K26)</f>
        <v>0.68</v>
      </c>
      <c r="E19" s="1182" t="s">
        <v>406</v>
      </c>
      <c r="F19" s="488"/>
      <c r="G19" s="463"/>
      <c r="H19" s="465"/>
      <c r="I19" s="466"/>
    </row>
    <row r="20" spans="1:9" ht="15.75" thickBot="1">
      <c r="A20" s="775" t="s">
        <v>519</v>
      </c>
      <c r="B20" s="489">
        <v>100</v>
      </c>
      <c r="C20" s="480">
        <f>IF('[2]MKK2'!G28="","",'[2]MKK2'!G28)</f>
        <v>0.08</v>
      </c>
      <c r="D20" s="490"/>
      <c r="E20" s="1183"/>
      <c r="F20" s="488"/>
      <c r="G20" s="463"/>
      <c r="H20" s="465"/>
      <c r="I20" s="466"/>
    </row>
    <row r="21" spans="1:9" ht="15.75" thickBot="1">
      <c r="A21" s="463"/>
      <c r="B21" s="491"/>
      <c r="C21" s="491"/>
      <c r="D21" s="491"/>
      <c r="E21" s="485" t="s">
        <v>73</v>
      </c>
      <c r="F21" s="486"/>
      <c r="G21" s="463"/>
      <c r="H21" s="465"/>
      <c r="I21" s="466"/>
    </row>
    <row r="22" spans="1:9" ht="15">
      <c r="A22" s="460"/>
      <c r="B22" s="460"/>
      <c r="C22" s="460"/>
      <c r="D22" s="460"/>
      <c r="E22" s="460"/>
      <c r="F22" s="460"/>
      <c r="G22" s="460"/>
      <c r="H22" s="462"/>
      <c r="I22" s="475"/>
    </row>
    <row r="23" spans="1:9" ht="15.75" thickBot="1">
      <c r="A23" s="463"/>
      <c r="B23" s="464" t="s">
        <v>386</v>
      </c>
      <c r="C23" s="464"/>
      <c r="D23" s="464"/>
      <c r="E23" s="464"/>
      <c r="F23" s="476" t="s">
        <v>407</v>
      </c>
      <c r="G23" s="463"/>
      <c r="H23" s="465"/>
      <c r="I23" s="466"/>
    </row>
    <row r="24" spans="1:9" ht="15.75" thickBot="1">
      <c r="A24" s="463"/>
      <c r="B24" s="492" t="s">
        <v>408</v>
      </c>
      <c r="C24" s="492"/>
      <c r="D24" s="492"/>
      <c r="E24" s="492"/>
      <c r="F24" s="474"/>
      <c r="G24" s="463"/>
      <c r="H24" s="465"/>
      <c r="I24" s="466"/>
    </row>
    <row r="25" spans="1:9" ht="15.75" thickBot="1">
      <c r="A25" s="463"/>
      <c r="B25" s="492" t="s">
        <v>409</v>
      </c>
      <c r="C25" s="492"/>
      <c r="D25" s="492"/>
      <c r="E25" s="492"/>
      <c r="F25" s="474"/>
      <c r="G25" s="463"/>
      <c r="H25" s="465"/>
      <c r="I25" s="466"/>
    </row>
    <row r="26" spans="1:9" ht="15.75" thickBot="1">
      <c r="A26" s="463"/>
      <c r="B26" s="493" t="s">
        <v>410</v>
      </c>
      <c r="C26" s="493"/>
      <c r="D26" s="493"/>
      <c r="E26" s="493"/>
      <c r="F26" s="494"/>
      <c r="G26" s="463"/>
      <c r="H26" s="465"/>
      <c r="I26" s="495"/>
    </row>
    <row r="27" spans="1:9" ht="15">
      <c r="A27" s="496"/>
      <c r="B27" s="496"/>
      <c r="C27" s="496"/>
      <c r="D27" s="496"/>
      <c r="E27" s="496"/>
      <c r="F27" s="496"/>
      <c r="G27" s="496"/>
      <c r="H27" s="497"/>
      <c r="I27" s="495"/>
    </row>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sheetData>
  <sheetProtection sheet="1" objects="1" scenarios="1"/>
  <mergeCells count="4">
    <mergeCell ref="E19:E20"/>
    <mergeCell ref="E4:F9"/>
    <mergeCell ref="E12:E15"/>
    <mergeCell ref="I1:I2"/>
  </mergeCells>
  <conditionalFormatting sqref="F13">
    <cfRule type="cellIs" priority="1" dxfId="1" operator="equal" stopIfTrue="1">
      <formula>"U in € fehlt!"</formula>
    </cfRule>
  </conditionalFormatting>
  <conditionalFormatting sqref="F14">
    <cfRule type="cellIs" priority="2" dxfId="1" operator="equal" stopIfTrue="1">
      <formula>"V in € fehlt!"</formula>
    </cfRule>
  </conditionalFormatting>
  <conditionalFormatting sqref="F15">
    <cfRule type="cellIs" priority="3" dxfId="1" operator="equal" stopIfTrue="1">
      <formula>"Z in € fehlt!"</formula>
    </cfRule>
  </conditionalFormatting>
  <conditionalFormatting sqref="F12 D9">
    <cfRule type="cellIs" priority="4" dxfId="1" operator="equal" stopIfTrue="1">
      <formula>"Afa fehlt!"</formula>
    </cfRule>
  </conditionalFormatting>
  <conditionalFormatting sqref="C12">
    <cfRule type="expression" priority="5" dxfId="7" stopIfTrue="1">
      <formula>$D$12=0</formula>
    </cfRule>
  </conditionalFormatting>
  <conditionalFormatting sqref="C13:C14">
    <cfRule type="cellIs" priority="6" dxfId="2" operator="equal" stopIfTrue="1">
      <formula>""</formula>
    </cfRule>
  </conditionalFormatting>
  <conditionalFormatting sqref="F19">
    <cfRule type="expression" priority="7" dxfId="2" stopIfTrue="1">
      <formula>OR($D$19=0,$D$19="",$D$19="-")</formula>
    </cfRule>
  </conditionalFormatting>
  <conditionalFormatting sqref="D19">
    <cfRule type="cellIs" priority="8" dxfId="2" operator="equal" stopIfTrue="1">
      <formula>0</formula>
    </cfRule>
    <cfRule type="cellIs" priority="9" dxfId="2" operator="equal" stopIfTrue="1">
      <formula>""</formula>
    </cfRule>
    <cfRule type="cellIs" priority="10" dxfId="2" operator="equal" stopIfTrue="1">
      <formula>"-"</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drawing r:id="rId3"/>
  <legacyDrawing r:id="rId2"/>
</worksheet>
</file>

<file path=xl/worksheets/sheet17.xml><?xml version="1.0" encoding="utf-8"?>
<worksheet xmlns="http://schemas.openxmlformats.org/spreadsheetml/2006/main" xmlns:r="http://schemas.openxmlformats.org/officeDocument/2006/relationships">
  <sheetPr>
    <tabColor indexed="10"/>
  </sheetPr>
  <dimension ref="A1:IL123"/>
  <sheetViews>
    <sheetView showGridLines="0" tabSelected="1" zoomScalePageLayoutView="0" workbookViewId="0" topLeftCell="A1">
      <pane ySplit="10" topLeftCell="A11" activePane="bottomLeft" state="frozen"/>
      <selection pane="topLeft" activeCell="E12" sqref="E12:M18"/>
      <selection pane="bottomLeft" activeCell="F14" sqref="F14"/>
    </sheetView>
  </sheetViews>
  <sheetFormatPr defaultColWidth="0" defaultRowHeight="12.75" zeroHeight="1"/>
  <cols>
    <col min="1" max="1" width="11.7109375" style="688" customWidth="1"/>
    <col min="2" max="2" width="7.7109375" style="688" customWidth="1"/>
    <col min="3" max="3" width="1.7109375" style="688" customWidth="1"/>
    <col min="4" max="4" width="2.7109375" style="688" customWidth="1"/>
    <col min="5" max="5" width="0.9921875" style="688" customWidth="1"/>
    <col min="6" max="6" width="16.7109375" style="689" customWidth="1"/>
    <col min="7" max="9" width="2.7109375" style="689" customWidth="1"/>
    <col min="10" max="10" width="16.7109375" style="689" customWidth="1"/>
    <col min="11" max="11" width="2.7109375" style="689" customWidth="1"/>
    <col min="12" max="13" width="2.7109375" style="683" customWidth="1"/>
    <col min="14" max="14" width="16.7109375" style="683" customWidth="1"/>
    <col min="15" max="15" width="0.9921875" style="683" customWidth="1"/>
    <col min="16" max="16" width="7.7109375" style="683" customWidth="1"/>
    <col min="17" max="17" width="0.85546875" style="1" customWidth="1"/>
    <col min="18" max="18" width="20.7109375" style="1" customWidth="1"/>
    <col min="19" max="16384" width="11.7109375" style="683" hidden="1" customWidth="1"/>
  </cols>
  <sheetData>
    <row r="1" spans="1:18" s="3" customFormat="1" ht="24.75" customHeight="1">
      <c r="A1" s="590" t="str">
        <f>"Gebäudebewertung: "&amp;IF('[2]Geb'!C13="","",'[2]Geb'!C13)&amp;" "&amp;IF('[2]Allg'!E10="","",'[2]Allg'!E10)</f>
        <v>Gebäudebewertung: Rinderstall (Warmstall) </v>
      </c>
      <c r="B1" s="591"/>
      <c r="C1" s="591"/>
      <c r="D1" s="591"/>
      <c r="E1" s="591"/>
      <c r="F1" s="590"/>
      <c r="G1" s="590"/>
      <c r="H1" s="592"/>
      <c r="I1" s="592"/>
      <c r="J1" s="592"/>
      <c r="K1" s="592"/>
      <c r="L1" s="593"/>
      <c r="M1" s="593"/>
      <c r="N1" s="593"/>
      <c r="O1" s="593"/>
      <c r="P1" s="593"/>
      <c r="Q1" s="459"/>
      <c r="R1" s="1163" t="s">
        <v>100</v>
      </c>
    </row>
    <row r="2" spans="1:18" s="3" customFormat="1" ht="12" customHeight="1">
      <c r="A2" s="594" t="s">
        <v>614</v>
      </c>
      <c r="B2" s="595"/>
      <c r="C2" s="595"/>
      <c r="D2" s="595"/>
      <c r="E2" s="595"/>
      <c r="F2" s="594"/>
      <c r="G2" s="594"/>
      <c r="H2" s="594"/>
      <c r="I2" s="594"/>
      <c r="J2" s="594"/>
      <c r="K2" s="594"/>
      <c r="L2" s="596"/>
      <c r="M2" s="596"/>
      <c r="N2" s="596"/>
      <c r="O2" s="596"/>
      <c r="P2" s="596"/>
      <c r="Q2" s="462"/>
      <c r="R2" s="1163"/>
    </row>
    <row r="3" spans="1:18" s="4" customFormat="1" ht="12.75" customHeight="1">
      <c r="A3" s="597"/>
      <c r="B3" s="598"/>
      <c r="C3" s="598"/>
      <c r="D3" s="598"/>
      <c r="E3" s="598"/>
      <c r="F3" s="599"/>
      <c r="G3" s="599"/>
      <c r="H3" s="599"/>
      <c r="I3" s="599"/>
      <c r="J3" s="599"/>
      <c r="K3" s="599"/>
      <c r="Q3" s="465"/>
      <c r="R3" s="1163"/>
    </row>
    <row r="4" spans="1:18" s="4" customFormat="1" ht="12.75" customHeight="1">
      <c r="A4" s="600" t="str">
        <f>'[2]Geb'!C13</f>
        <v>Rinderstall (Warmstall)</v>
      </c>
      <c r="Q4" s="465"/>
      <c r="R4" s="1163"/>
    </row>
    <row r="5" spans="1:18" s="4" customFormat="1" ht="12.75" customHeight="1">
      <c r="A5" s="597" t="s">
        <v>470</v>
      </c>
      <c r="B5" s="601">
        <f>IF('[2]Allg'!E12="","",'[2]Allg'!E12)</f>
        <v>2007</v>
      </c>
      <c r="C5" s="602"/>
      <c r="D5" s="602"/>
      <c r="E5" s="602"/>
      <c r="Q5" s="465"/>
      <c r="R5" s="1163"/>
    </row>
    <row r="6" spans="1:18" s="4" customFormat="1" ht="12.75" customHeight="1">
      <c r="A6" s="597" t="s">
        <v>471</v>
      </c>
      <c r="B6" s="601">
        <f>IF('[2]Geb'!I15="","",'[2]Geb'!I15)</f>
        <v>1996</v>
      </c>
      <c r="C6" s="602"/>
      <c r="D6" s="602"/>
      <c r="E6" s="602"/>
      <c r="F6" s="599"/>
      <c r="G6" s="599"/>
      <c r="H6" s="597" t="s">
        <v>472</v>
      </c>
      <c r="I6" s="599"/>
      <c r="J6" s="603">
        <f>IF('[2]Geb'!I19="","",'[2]Geb'!I19)</f>
        <v>18</v>
      </c>
      <c r="K6" s="604"/>
      <c r="L6" s="4" t="s">
        <v>473</v>
      </c>
      <c r="M6" s="597"/>
      <c r="Q6" s="465"/>
      <c r="R6" s="1163"/>
    </row>
    <row r="7" spans="1:18" s="4" customFormat="1" ht="12.75" customHeight="1">
      <c r="A7" s="597" t="s">
        <v>474</v>
      </c>
      <c r="B7" s="601">
        <f>IF('[2]Geb'!I17="","",'[2]Geb'!I17)</f>
        <v>45</v>
      </c>
      <c r="C7" s="605" t="s">
        <v>475</v>
      </c>
      <c r="E7" s="602"/>
      <c r="G7" s="605"/>
      <c r="H7" s="597" t="s">
        <v>476</v>
      </c>
      <c r="I7" s="599"/>
      <c r="J7" s="603">
        <f>IF('[2]Geb'!I21="","",'[2]Geb'!I21)</f>
        <v>12</v>
      </c>
      <c r="K7" s="604"/>
      <c r="L7" s="4" t="s">
        <v>473</v>
      </c>
      <c r="M7" s="597"/>
      <c r="Q7" s="465"/>
      <c r="R7" s="1163"/>
    </row>
    <row r="8" spans="8:18" s="4" customFormat="1" ht="12.75" customHeight="1">
      <c r="H8" s="597" t="s">
        <v>477</v>
      </c>
      <c r="I8" s="599"/>
      <c r="J8" s="603">
        <f>IF('[2]Geb'!I23="","",'[2]Geb'!I23)</f>
        <v>5</v>
      </c>
      <c r="K8" s="604"/>
      <c r="L8" s="4" t="s">
        <v>509</v>
      </c>
      <c r="M8" s="597"/>
      <c r="Q8" s="465"/>
      <c r="R8" s="1163"/>
    </row>
    <row r="9" spans="6:18" s="4" customFormat="1" ht="12.75" customHeight="1">
      <c r="F9" s="605"/>
      <c r="G9" s="605"/>
      <c r="H9" s="597" t="s">
        <v>478</v>
      </c>
      <c r="I9" s="599"/>
      <c r="J9" s="606">
        <f>IF('[2]Geb'!I27="","",'[2]Geb'!I27)</f>
        <v>156</v>
      </c>
      <c r="K9" s="607"/>
      <c r="L9" s="4" t="s">
        <v>479</v>
      </c>
      <c r="M9" s="597"/>
      <c r="Q9" s="465"/>
      <c r="R9" s="1163"/>
    </row>
    <row r="10" spans="1:18" s="4" customFormat="1" ht="12" customHeight="1">
      <c r="A10" s="599"/>
      <c r="B10" s="599"/>
      <c r="C10" s="599"/>
      <c r="D10" s="599"/>
      <c r="E10" s="599"/>
      <c r="F10" s="599"/>
      <c r="G10" s="599"/>
      <c r="H10" s="607"/>
      <c r="I10" s="599"/>
      <c r="M10" s="607"/>
      <c r="Q10" s="462"/>
      <c r="R10" s="1163"/>
    </row>
    <row r="11" spans="1:18" s="610" customFormat="1" ht="15" customHeight="1">
      <c r="A11" s="608" t="str">
        <f>A4</f>
        <v>Rinderstall (Warmstall)</v>
      </c>
      <c r="B11" s="609"/>
      <c r="C11" s="609"/>
      <c r="D11" s="609"/>
      <c r="E11" s="609"/>
      <c r="F11" s="349"/>
      <c r="G11" s="349"/>
      <c r="H11" s="349"/>
      <c r="I11" s="349"/>
      <c r="J11" s="349"/>
      <c r="K11" s="349"/>
      <c r="L11" s="249"/>
      <c r="M11" s="249"/>
      <c r="N11" s="249"/>
      <c r="O11" s="249"/>
      <c r="P11" s="249"/>
      <c r="Q11" s="465"/>
      <c r="R11" s="466"/>
    </row>
    <row r="12" spans="1:18" s="612" customFormat="1" ht="3" customHeight="1" thickBot="1">
      <c r="A12" s="611"/>
      <c r="B12" s="611"/>
      <c r="C12" s="611"/>
      <c r="D12" s="611"/>
      <c r="E12" s="611"/>
      <c r="F12" s="611"/>
      <c r="G12" s="611"/>
      <c r="H12" s="611"/>
      <c r="I12" s="611"/>
      <c r="J12" s="611"/>
      <c r="K12" s="611"/>
      <c r="L12" s="611"/>
      <c r="M12" s="611"/>
      <c r="N12" s="611"/>
      <c r="O12" s="611"/>
      <c r="P12" s="611"/>
      <c r="Q12" s="465"/>
      <c r="R12" s="466"/>
    </row>
    <row r="13" spans="1:18" s="612" customFormat="1" ht="3.75" customHeight="1">
      <c r="A13" s="611"/>
      <c r="B13" s="613"/>
      <c r="C13" s="614"/>
      <c r="D13" s="614"/>
      <c r="E13" s="614"/>
      <c r="F13" s="614"/>
      <c r="G13" s="615"/>
      <c r="H13" s="614"/>
      <c r="I13" s="614"/>
      <c r="J13" s="614"/>
      <c r="K13" s="614"/>
      <c r="L13" s="614"/>
      <c r="M13" s="614"/>
      <c r="N13" s="614"/>
      <c r="O13" s="616"/>
      <c r="P13" s="611"/>
      <c r="Q13" s="482"/>
      <c r="R13" s="466"/>
    </row>
    <row r="14" spans="1:18" s="610" customFormat="1" ht="15" customHeight="1">
      <c r="A14" s="611"/>
      <c r="B14" s="617" t="s">
        <v>481</v>
      </c>
      <c r="C14" s="618" t="str">
        <f>MID('[2]Geb'!$C$13,1,2)</f>
        <v>Ri</v>
      </c>
      <c r="D14" s="619" t="s">
        <v>482</v>
      </c>
      <c r="E14" s="619"/>
      <c r="F14" s="620"/>
      <c r="G14" s="890"/>
      <c r="H14" s="620"/>
      <c r="I14" s="890"/>
      <c r="J14" s="620"/>
      <c r="K14" s="890"/>
      <c r="L14" s="620"/>
      <c r="M14" s="890"/>
      <c r="N14" s="620"/>
      <c r="O14" s="891"/>
      <c r="P14" s="621" t="s">
        <v>483</v>
      </c>
      <c r="Q14" s="482"/>
      <c r="R14" s="466"/>
    </row>
    <row r="15" spans="1:18" s="610" customFormat="1" ht="3.75" customHeight="1" thickBot="1">
      <c r="A15" s="611"/>
      <c r="B15" s="622"/>
      <c r="C15" s="623"/>
      <c r="D15" s="623"/>
      <c r="E15" s="623"/>
      <c r="F15" s="624"/>
      <c r="G15" s="624"/>
      <c r="H15" s="624"/>
      <c r="I15" s="624"/>
      <c r="J15" s="624"/>
      <c r="K15" s="624"/>
      <c r="L15" s="625"/>
      <c r="M15" s="625"/>
      <c r="N15" s="624"/>
      <c r="O15" s="626"/>
      <c r="P15" s="627"/>
      <c r="Q15" s="482"/>
      <c r="R15" s="466"/>
    </row>
    <row r="16" spans="1:18" s="610" customFormat="1" ht="3.75" customHeight="1" thickBot="1">
      <c r="A16" s="611"/>
      <c r="B16" s="397"/>
      <c r="C16" s="611"/>
      <c r="D16" s="611"/>
      <c r="E16" s="611"/>
      <c r="F16" s="628"/>
      <c r="G16" s="628"/>
      <c r="H16" s="628"/>
      <c r="I16" s="628"/>
      <c r="J16" s="628"/>
      <c r="K16" s="628"/>
      <c r="L16" s="627"/>
      <c r="M16" s="627"/>
      <c r="N16" s="628"/>
      <c r="O16" s="628"/>
      <c r="P16" s="627"/>
      <c r="Q16" s="465"/>
      <c r="R16" s="466"/>
    </row>
    <row r="17" spans="1:18" s="610" customFormat="1" ht="15" customHeight="1" thickBot="1">
      <c r="A17" s="611"/>
      <c r="B17" s="397" t="s">
        <v>481</v>
      </c>
      <c r="C17" s="629" t="str">
        <f>MID('[2]Geb'!$C$13,1,2)</f>
        <v>Ri</v>
      </c>
      <c r="D17" s="628" t="s">
        <v>482</v>
      </c>
      <c r="E17" s="628"/>
      <c r="F17" s="453"/>
      <c r="G17" s="628"/>
      <c r="H17" s="197" t="s">
        <v>464</v>
      </c>
      <c r="I17" s="197"/>
      <c r="J17" s="628"/>
      <c r="K17" s="628"/>
      <c r="L17" s="627"/>
      <c r="M17" s="627"/>
      <c r="N17" s="627"/>
      <c r="O17" s="627"/>
      <c r="P17" s="630" t="s">
        <v>4</v>
      </c>
      <c r="Q17" s="462"/>
      <c r="R17" s="475"/>
    </row>
    <row r="18" spans="1:18" s="610" customFormat="1" ht="3" customHeight="1">
      <c r="A18" s="611"/>
      <c r="B18" s="397"/>
      <c r="C18" s="397"/>
      <c r="D18" s="397"/>
      <c r="E18" s="397"/>
      <c r="F18" s="397"/>
      <c r="G18" s="628"/>
      <c r="H18" s="197"/>
      <c r="I18" s="197"/>
      <c r="J18" s="628"/>
      <c r="K18" s="628"/>
      <c r="L18" s="627"/>
      <c r="M18" s="627"/>
      <c r="N18" s="627"/>
      <c r="O18" s="627"/>
      <c r="P18" s="627"/>
      <c r="Q18" s="465"/>
      <c r="R18" s="466"/>
    </row>
    <row r="19" spans="1:18" s="610" customFormat="1" ht="7.5" customHeight="1" thickBot="1">
      <c r="A19" s="631"/>
      <c r="B19" s="632"/>
      <c r="C19" s="631"/>
      <c r="D19" s="631"/>
      <c r="E19" s="631"/>
      <c r="F19" s="633"/>
      <c r="G19" s="633"/>
      <c r="H19" s="633"/>
      <c r="I19" s="633"/>
      <c r="J19" s="633"/>
      <c r="K19" s="633"/>
      <c r="Q19" s="708"/>
      <c r="R19" s="774"/>
    </row>
    <row r="20" spans="1:18" s="610" customFormat="1" ht="3.75" customHeight="1">
      <c r="A20" s="631"/>
      <c r="B20" s="635"/>
      <c r="C20" s="614"/>
      <c r="D20" s="614"/>
      <c r="E20" s="614"/>
      <c r="F20" s="615"/>
      <c r="G20" s="615"/>
      <c r="H20" s="615"/>
      <c r="I20" s="615"/>
      <c r="J20" s="615"/>
      <c r="K20" s="636"/>
      <c r="Q20" s="708"/>
      <c r="R20" s="774"/>
    </row>
    <row r="21" spans="1:18" s="610" customFormat="1" ht="15" customHeight="1">
      <c r="A21" s="637"/>
      <c r="B21" s="617" t="s">
        <v>468</v>
      </c>
      <c r="C21" s="618" t="str">
        <f>MID('[2]Geb'!$C$13,1,2)</f>
        <v>Ri</v>
      </c>
      <c r="D21" s="619" t="s">
        <v>482</v>
      </c>
      <c r="E21" s="619"/>
      <c r="F21" s="620"/>
      <c r="G21" s="619"/>
      <c r="H21" s="620"/>
      <c r="I21" s="619"/>
      <c r="J21" s="620"/>
      <c r="K21" s="891"/>
      <c r="L21" s="638"/>
      <c r="M21" s="638"/>
      <c r="Q21" s="708"/>
      <c r="R21" s="774"/>
    </row>
    <row r="22" spans="1:18" s="610" customFormat="1" ht="3.75" customHeight="1" thickBot="1">
      <c r="A22" s="631"/>
      <c r="B22" s="622"/>
      <c r="C22" s="623"/>
      <c r="D22" s="623"/>
      <c r="E22" s="623"/>
      <c r="F22" s="624"/>
      <c r="G22" s="624"/>
      <c r="H22" s="624"/>
      <c r="I22" s="624"/>
      <c r="J22" s="624"/>
      <c r="K22" s="626"/>
      <c r="L22" s="634"/>
      <c r="M22" s="634"/>
      <c r="Q22" s="708"/>
      <c r="R22" s="774"/>
    </row>
    <row r="23" spans="1:18" s="610" customFormat="1" ht="3.75" customHeight="1" thickBot="1">
      <c r="A23" s="631"/>
      <c r="B23" s="632"/>
      <c r="C23" s="631"/>
      <c r="D23" s="631"/>
      <c r="E23" s="631"/>
      <c r="F23" s="633"/>
      <c r="G23" s="633"/>
      <c r="H23" s="633"/>
      <c r="I23" s="633"/>
      <c r="J23" s="633"/>
      <c r="K23" s="633"/>
      <c r="L23" s="634"/>
      <c r="M23" s="634"/>
      <c r="Q23" s="708"/>
      <c r="R23" s="774"/>
    </row>
    <row r="24" spans="1:18" s="610" customFormat="1" ht="15" customHeight="1" thickBot="1">
      <c r="A24" s="631"/>
      <c r="B24" s="632" t="s">
        <v>468</v>
      </c>
      <c r="C24" s="639" t="str">
        <f>MID('[2]Geb'!$C$13,1,2)</f>
        <v>Ri</v>
      </c>
      <c r="D24" s="602" t="s">
        <v>482</v>
      </c>
      <c r="F24" s="453"/>
      <c r="G24" s="633"/>
      <c r="H24" s="637" t="s">
        <v>467</v>
      </c>
      <c r="I24" s="637"/>
      <c r="J24" s="640"/>
      <c r="K24" s="640"/>
      <c r="L24" s="641"/>
      <c r="M24" s="673"/>
      <c r="N24" s="178" t="s">
        <v>484</v>
      </c>
      <c r="O24" s="642"/>
      <c r="P24" s="642"/>
      <c r="Q24" s="708"/>
      <c r="R24" s="774"/>
    </row>
    <row r="25" spans="1:18" s="610" customFormat="1" ht="3" customHeight="1" thickBot="1">
      <c r="A25" s="631"/>
      <c r="B25" s="632"/>
      <c r="C25" s="643"/>
      <c r="D25" s="602"/>
      <c r="E25" s="602"/>
      <c r="F25" s="602"/>
      <c r="G25" s="633"/>
      <c r="H25" s="637"/>
      <c r="I25" s="637"/>
      <c r="J25" s="640"/>
      <c r="K25" s="640"/>
      <c r="M25" s="673"/>
      <c r="O25" s="642"/>
      <c r="P25" s="642"/>
      <c r="Q25" s="708"/>
      <c r="R25" s="774"/>
    </row>
    <row r="26" spans="1:18" s="610" customFormat="1" ht="15" customHeight="1" thickBot="1">
      <c r="A26" s="631"/>
      <c r="B26" s="632"/>
      <c r="C26" s="643"/>
      <c r="D26" s="602"/>
      <c r="E26" s="602"/>
      <c r="F26" s="602"/>
      <c r="G26" s="633"/>
      <c r="H26" s="637"/>
      <c r="I26" s="637"/>
      <c r="J26" s="640"/>
      <c r="K26" s="640"/>
      <c r="L26" s="641"/>
      <c r="M26" s="673"/>
      <c r="N26" s="610" t="s">
        <v>485</v>
      </c>
      <c r="O26" s="642"/>
      <c r="P26" s="642"/>
      <c r="Q26" s="708"/>
      <c r="R26" s="774"/>
    </row>
    <row r="27" spans="1:18" s="610" customFormat="1" ht="3" customHeight="1" thickBot="1">
      <c r="A27" s="631"/>
      <c r="B27" s="632"/>
      <c r="C27" s="643"/>
      <c r="D27" s="602"/>
      <c r="E27" s="602"/>
      <c r="F27" s="602"/>
      <c r="G27" s="633"/>
      <c r="H27" s="637"/>
      <c r="I27" s="637"/>
      <c r="J27" s="640"/>
      <c r="K27" s="640"/>
      <c r="M27" s="673"/>
      <c r="O27" s="642"/>
      <c r="P27" s="642"/>
      <c r="Q27" s="708"/>
      <c r="R27" s="774"/>
    </row>
    <row r="28" spans="1:18" s="610" customFormat="1" ht="15" customHeight="1" thickBot="1">
      <c r="A28" s="631"/>
      <c r="B28" s="632"/>
      <c r="C28" s="643"/>
      <c r="D28" s="602"/>
      <c r="E28" s="602"/>
      <c r="F28" s="602"/>
      <c r="G28" s="633"/>
      <c r="H28" s="637"/>
      <c r="I28" s="637"/>
      <c r="J28" s="640"/>
      <c r="K28" s="640"/>
      <c r="L28" s="641"/>
      <c r="M28" s="673"/>
      <c r="N28" s="610" t="s">
        <v>486</v>
      </c>
      <c r="O28" s="642"/>
      <c r="P28" s="642"/>
      <c r="Q28" s="708"/>
      <c r="R28" s="774"/>
    </row>
    <row r="29" spans="1:18" s="610" customFormat="1" ht="3.75" customHeight="1">
      <c r="A29" s="631"/>
      <c r="B29" s="632"/>
      <c r="C29" s="643"/>
      <c r="D29" s="602"/>
      <c r="E29" s="602"/>
      <c r="F29" s="602"/>
      <c r="G29" s="633"/>
      <c r="H29" s="637"/>
      <c r="I29" s="637"/>
      <c r="J29" s="640"/>
      <c r="K29" s="640"/>
      <c r="M29" s="673"/>
      <c r="O29" s="642"/>
      <c r="P29" s="642"/>
      <c r="Q29" s="708"/>
      <c r="R29" s="774"/>
    </row>
    <row r="30" spans="1:18" s="610" customFormat="1" ht="15" customHeight="1" thickBot="1">
      <c r="A30" s="611"/>
      <c r="B30" s="397" t="s">
        <v>487</v>
      </c>
      <c r="C30" s="629" t="str">
        <f>MID('[2]Geb'!$C$13,1,2)</f>
        <v>Ri</v>
      </c>
      <c r="D30" s="628" t="s">
        <v>482</v>
      </c>
      <c r="E30" s="628"/>
      <c r="F30" s="645">
        <f>IF(J9="","",J9)</f>
        <v>156</v>
      </c>
      <c r="G30" s="645"/>
      <c r="H30" s="628"/>
      <c r="I30" s="628"/>
      <c r="J30" s="628" t="s">
        <v>615</v>
      </c>
      <c r="K30" s="628"/>
      <c r="L30" s="627"/>
      <c r="M30" s="627"/>
      <c r="N30" s="646">
        <v>1</v>
      </c>
      <c r="O30" s="646"/>
      <c r="P30" s="646"/>
      <c r="Q30" s="708"/>
      <c r="R30" s="774"/>
    </row>
    <row r="31" spans="1:18" s="610" customFormat="1" ht="15" customHeight="1" thickBot="1">
      <c r="A31" s="611"/>
      <c r="B31" s="397" t="s">
        <v>488</v>
      </c>
      <c r="C31" s="629" t="str">
        <f>MID('[2]Geb'!$C$13,1,2)</f>
        <v>Ri</v>
      </c>
      <c r="D31" s="628" t="s">
        <v>482</v>
      </c>
      <c r="E31" s="628"/>
      <c r="F31" s="647" t="str">
        <f>IF(OR(F30="",N31=""),"noch leer",F30*N31)</f>
        <v>noch leer</v>
      </c>
      <c r="G31" s="647"/>
      <c r="H31" s="628"/>
      <c r="I31" s="628"/>
      <c r="J31" s="628" t="s">
        <v>615</v>
      </c>
      <c r="K31" s="628"/>
      <c r="L31" s="627"/>
      <c r="M31" s="627"/>
      <c r="N31" s="648"/>
      <c r="O31" s="646"/>
      <c r="P31" s="646"/>
      <c r="Q31" s="708"/>
      <c r="R31" s="774"/>
    </row>
    <row r="32" spans="1:18" s="610" customFormat="1" ht="15" customHeight="1" thickBot="1">
      <c r="A32" s="611"/>
      <c r="B32" s="397"/>
      <c r="C32" s="644"/>
      <c r="D32" s="392"/>
      <c r="E32" s="392"/>
      <c r="F32" s="397"/>
      <c r="G32" s="397"/>
      <c r="H32" s="197"/>
      <c r="I32" s="197"/>
      <c r="J32" s="646"/>
      <c r="K32" s="646"/>
      <c r="L32" s="627"/>
      <c r="M32" s="627"/>
      <c r="N32" s="397"/>
      <c r="O32" s="397"/>
      <c r="P32" s="397"/>
      <c r="Q32" s="708"/>
      <c r="R32" s="774"/>
    </row>
    <row r="33" spans="1:18" s="610" customFormat="1" ht="3.75" customHeight="1">
      <c r="A33" s="611"/>
      <c r="B33" s="635"/>
      <c r="C33" s="650"/>
      <c r="D33" s="651"/>
      <c r="E33" s="651"/>
      <c r="F33" s="652"/>
      <c r="G33" s="652"/>
      <c r="H33" s="653"/>
      <c r="I33" s="653"/>
      <c r="J33" s="654"/>
      <c r="K33" s="655"/>
      <c r="L33" s="627"/>
      <c r="M33" s="627"/>
      <c r="N33" s="397"/>
      <c r="O33" s="397"/>
      <c r="P33" s="397"/>
      <c r="Q33" s="708"/>
      <c r="R33" s="774"/>
    </row>
    <row r="34" spans="1:18" s="610" customFormat="1" ht="15" customHeight="1">
      <c r="A34" s="611"/>
      <c r="B34" s="617" t="s">
        <v>489</v>
      </c>
      <c r="C34" s="618" t="str">
        <f>MID('[2]Geb'!$C$13,1,2)</f>
        <v>Ri</v>
      </c>
      <c r="D34" s="619" t="s">
        <v>482</v>
      </c>
      <c r="E34" s="619"/>
      <c r="F34" s="620"/>
      <c r="G34" s="890"/>
      <c r="H34" s="620"/>
      <c r="I34" s="890"/>
      <c r="J34" s="656"/>
      <c r="K34" s="657"/>
      <c r="L34" s="627"/>
      <c r="M34" s="627"/>
      <c r="N34" s="397"/>
      <c r="O34" s="397"/>
      <c r="P34" s="397"/>
      <c r="Q34" s="708"/>
      <c r="R34" s="774"/>
    </row>
    <row r="35" spans="1:18" s="610" customFormat="1" ht="3.75" customHeight="1" thickBot="1">
      <c r="A35" s="611"/>
      <c r="B35" s="622"/>
      <c r="C35" s="658"/>
      <c r="D35" s="624"/>
      <c r="E35" s="624"/>
      <c r="F35" s="625"/>
      <c r="G35" s="625"/>
      <c r="H35" s="625"/>
      <c r="I35" s="625"/>
      <c r="J35" s="625"/>
      <c r="K35" s="659"/>
      <c r="L35" s="627"/>
      <c r="M35" s="627"/>
      <c r="N35" s="397"/>
      <c r="O35" s="397"/>
      <c r="P35" s="397"/>
      <c r="Q35" s="708"/>
      <c r="R35" s="774"/>
    </row>
    <row r="36" spans="1:18" s="610" customFormat="1" ht="3" customHeight="1" thickBot="1">
      <c r="A36" s="611"/>
      <c r="B36" s="397"/>
      <c r="C36" s="644"/>
      <c r="D36" s="628"/>
      <c r="E36" s="628"/>
      <c r="F36" s="627"/>
      <c r="G36" s="627"/>
      <c r="H36" s="627"/>
      <c r="I36" s="627"/>
      <c r="J36" s="627"/>
      <c r="K36" s="627"/>
      <c r="L36" s="627"/>
      <c r="M36" s="627"/>
      <c r="N36" s="397"/>
      <c r="O36" s="397"/>
      <c r="P36" s="397"/>
      <c r="Q36" s="708"/>
      <c r="R36" s="774"/>
    </row>
    <row r="37" spans="1:18" s="610" customFormat="1" ht="15" customHeight="1" thickBot="1">
      <c r="A37" s="611"/>
      <c r="B37" s="397" t="s">
        <v>489</v>
      </c>
      <c r="C37" s="629" t="str">
        <f>MID('[2]Geb'!$C$13,1,2)</f>
        <v>Ri</v>
      </c>
      <c r="D37" s="392" t="s">
        <v>482</v>
      </c>
      <c r="E37" s="392"/>
      <c r="F37" s="430"/>
      <c r="G37" s="628"/>
      <c r="H37" s="197" t="s">
        <v>479</v>
      </c>
      <c r="I37" s="197"/>
      <c r="J37" s="627"/>
      <c r="K37" s="627"/>
      <c r="L37" s="627"/>
      <c r="M37" s="627"/>
      <c r="N37" s="397"/>
      <c r="O37" s="397"/>
      <c r="P37" s="397"/>
      <c r="Q37" s="708"/>
      <c r="R37" s="774"/>
    </row>
    <row r="38" spans="1:18" s="610" customFormat="1" ht="3" customHeight="1">
      <c r="A38" s="611"/>
      <c r="B38" s="397"/>
      <c r="C38" s="397"/>
      <c r="D38" s="397"/>
      <c r="E38" s="397"/>
      <c r="F38" s="397"/>
      <c r="G38" s="397"/>
      <c r="H38" s="197"/>
      <c r="I38" s="197"/>
      <c r="J38" s="646"/>
      <c r="K38" s="646"/>
      <c r="L38" s="627"/>
      <c r="M38" s="627"/>
      <c r="N38" s="397"/>
      <c r="O38" s="397"/>
      <c r="P38" s="397"/>
      <c r="Q38" s="708"/>
      <c r="R38" s="774"/>
    </row>
    <row r="39" spans="1:18" s="610" customFormat="1" ht="15" customHeight="1" thickBot="1">
      <c r="A39" s="660"/>
      <c r="B39" s="661"/>
      <c r="C39" s="661"/>
      <c r="D39" s="661"/>
      <c r="E39" s="661"/>
      <c r="F39" s="649"/>
      <c r="G39" s="649"/>
      <c r="H39" s="255"/>
      <c r="I39" s="255"/>
      <c r="J39" s="662"/>
      <c r="K39" s="662"/>
      <c r="L39" s="634"/>
      <c r="M39" s="634"/>
      <c r="N39" s="661"/>
      <c r="O39" s="661"/>
      <c r="P39" s="661"/>
      <c r="Q39" s="708"/>
      <c r="R39" s="774"/>
    </row>
    <row r="40" spans="1:18" s="610" customFormat="1" ht="3.75" customHeight="1">
      <c r="A40" s="665"/>
      <c r="B40" s="666"/>
      <c r="C40" s="667"/>
      <c r="D40" s="667"/>
      <c r="E40" s="667"/>
      <c r="F40" s="668"/>
      <c r="G40" s="668"/>
      <c r="H40" s="668"/>
      <c r="I40" s="668"/>
      <c r="J40" s="668"/>
      <c r="K40" s="669"/>
      <c r="L40" s="220"/>
      <c r="M40" s="220"/>
      <c r="N40" s="220"/>
      <c r="O40" s="220"/>
      <c r="P40" s="220"/>
      <c r="Q40" s="708"/>
      <c r="R40" s="774"/>
    </row>
    <row r="41" spans="1:18" s="610" customFormat="1" ht="15" customHeight="1">
      <c r="A41" s="660"/>
      <c r="B41" s="1192" t="s">
        <v>490</v>
      </c>
      <c r="C41" s="670"/>
      <c r="D41" s="1193" t="s">
        <v>482</v>
      </c>
      <c r="E41" s="671"/>
      <c r="F41" s="1191"/>
      <c r="G41" s="1191"/>
      <c r="H41" s="1191"/>
      <c r="I41" s="890"/>
      <c r="J41" s="619"/>
      <c r="K41" s="672"/>
      <c r="M41" s="634"/>
      <c r="N41" s="660"/>
      <c r="O41" s="660"/>
      <c r="P41" s="660"/>
      <c r="Q41" s="708"/>
      <c r="R41" s="774"/>
    </row>
    <row r="42" spans="1:18" s="610" customFormat="1" ht="3" customHeight="1">
      <c r="A42" s="660"/>
      <c r="B42" s="1192"/>
      <c r="C42" s="670"/>
      <c r="D42" s="1193"/>
      <c r="E42" s="671"/>
      <c r="F42" s="674"/>
      <c r="G42" s="674"/>
      <c r="H42" s="674"/>
      <c r="I42" s="890"/>
      <c r="J42" s="619"/>
      <c r="K42" s="672"/>
      <c r="M42" s="634"/>
      <c r="N42" s="660"/>
      <c r="O42" s="660"/>
      <c r="P42" s="660"/>
      <c r="Q42" s="708"/>
      <c r="R42" s="774"/>
    </row>
    <row r="43" spans="1:18" s="610" customFormat="1" ht="3" customHeight="1">
      <c r="A43" s="660"/>
      <c r="B43" s="1192"/>
      <c r="C43" s="618"/>
      <c r="D43" s="1193"/>
      <c r="E43" s="671"/>
      <c r="F43" s="619"/>
      <c r="G43" s="619"/>
      <c r="H43" s="619"/>
      <c r="I43" s="890"/>
      <c r="J43" s="619"/>
      <c r="K43" s="672"/>
      <c r="M43" s="634"/>
      <c r="N43" s="660"/>
      <c r="O43" s="660"/>
      <c r="P43" s="660"/>
      <c r="Q43" s="708"/>
      <c r="R43" s="774"/>
    </row>
    <row r="44" spans="1:18" s="610" customFormat="1" ht="15" customHeight="1">
      <c r="A44" s="660"/>
      <c r="B44" s="1192"/>
      <c r="C44" s="675" t="str">
        <f>MID('[2]Geb'!$C$13,1,2)</f>
        <v>Ri</v>
      </c>
      <c r="D44" s="1193"/>
      <c r="E44" s="671"/>
      <c r="F44" s="1191"/>
      <c r="G44" s="1191"/>
      <c r="H44" s="1191"/>
      <c r="I44" s="890"/>
      <c r="J44" s="619"/>
      <c r="K44" s="672"/>
      <c r="M44" s="634"/>
      <c r="N44" s="660"/>
      <c r="O44" s="660"/>
      <c r="P44" s="660"/>
      <c r="Q44" s="708"/>
      <c r="R44" s="774"/>
    </row>
    <row r="45" spans="1:18" s="610" customFormat="1" ht="3.75" customHeight="1" thickBot="1">
      <c r="A45" s="660"/>
      <c r="B45" s="676"/>
      <c r="C45" s="623"/>
      <c r="D45" s="623"/>
      <c r="E45" s="623"/>
      <c r="F45" s="624"/>
      <c r="G45" s="624"/>
      <c r="H45" s="624"/>
      <c r="I45" s="892"/>
      <c r="J45" s="624"/>
      <c r="K45" s="626"/>
      <c r="M45" s="634"/>
      <c r="N45" s="660"/>
      <c r="O45" s="660"/>
      <c r="P45" s="660"/>
      <c r="Q45" s="708"/>
      <c r="R45" s="774"/>
    </row>
    <row r="46" spans="1:18" s="610" customFormat="1" ht="6" customHeight="1" thickBot="1">
      <c r="A46" s="660"/>
      <c r="B46" s="660"/>
      <c r="C46" s="660"/>
      <c r="D46" s="660"/>
      <c r="E46" s="660"/>
      <c r="F46" s="633"/>
      <c r="G46" s="633"/>
      <c r="H46" s="633"/>
      <c r="I46" s="673"/>
      <c r="J46" s="633"/>
      <c r="K46" s="633"/>
      <c r="M46" s="634"/>
      <c r="N46" s="660"/>
      <c r="O46" s="660"/>
      <c r="P46" s="660"/>
      <c r="Q46" s="708"/>
      <c r="R46" s="774"/>
    </row>
    <row r="47" spans="1:18" s="610" customFormat="1" ht="15" customHeight="1" thickBot="1">
      <c r="A47" s="660"/>
      <c r="B47" s="661" t="s">
        <v>490</v>
      </c>
      <c r="C47" s="639" t="str">
        <f>MID('[2]Geb'!$C$13,1,2)</f>
        <v>Ri</v>
      </c>
      <c r="D47" s="255" t="s">
        <v>482</v>
      </c>
      <c r="F47" s="430"/>
      <c r="G47" s="637"/>
      <c r="I47" s="673"/>
      <c r="J47" s="633"/>
      <c r="K47" s="633"/>
      <c r="M47" s="634"/>
      <c r="N47" s="660"/>
      <c r="O47" s="660"/>
      <c r="P47" s="660"/>
      <c r="Q47" s="708"/>
      <c r="R47" s="774"/>
    </row>
    <row r="48" spans="1:18" s="610" customFormat="1" ht="15" customHeight="1" thickBot="1">
      <c r="A48" s="660"/>
      <c r="B48" s="660"/>
      <c r="C48" s="660"/>
      <c r="D48" s="660"/>
      <c r="E48" s="660"/>
      <c r="F48" s="633"/>
      <c r="G48" s="673"/>
      <c r="H48" s="633"/>
      <c r="I48" s="673"/>
      <c r="J48" s="633"/>
      <c r="K48" s="633"/>
      <c r="M48" s="634"/>
      <c r="N48" s="660"/>
      <c r="O48" s="660"/>
      <c r="P48" s="660"/>
      <c r="Q48" s="708"/>
      <c r="R48" s="774"/>
    </row>
    <row r="49" spans="1:18" s="610" customFormat="1" ht="3.75" customHeight="1">
      <c r="A49" s="660"/>
      <c r="B49" s="613"/>
      <c r="C49" s="614"/>
      <c r="D49" s="614"/>
      <c r="E49" s="614"/>
      <c r="F49" s="615"/>
      <c r="G49" s="893"/>
      <c r="H49" s="615"/>
      <c r="I49" s="893"/>
      <c r="J49" s="615"/>
      <c r="K49" s="636"/>
      <c r="M49" s="634"/>
      <c r="N49" s="660"/>
      <c r="O49" s="660"/>
      <c r="P49" s="660"/>
      <c r="Q49" s="708"/>
      <c r="R49" s="774"/>
    </row>
    <row r="50" spans="1:18" s="610" customFormat="1" ht="15" customHeight="1">
      <c r="A50" s="660"/>
      <c r="B50" s="617" t="s">
        <v>491</v>
      </c>
      <c r="C50" s="618" t="str">
        <f>MID('[2]Geb'!$C$13,1,2)</f>
        <v>Ri</v>
      </c>
      <c r="D50" s="671" t="s">
        <v>482</v>
      </c>
      <c r="E50" s="671"/>
      <c r="F50" s="620"/>
      <c r="G50" s="890"/>
      <c r="H50" s="620"/>
      <c r="I50" s="890"/>
      <c r="J50" s="620"/>
      <c r="K50" s="891"/>
      <c r="M50" s="634"/>
      <c r="N50" s="660"/>
      <c r="O50" s="660"/>
      <c r="P50" s="660"/>
      <c r="Q50" s="708"/>
      <c r="R50" s="774"/>
    </row>
    <row r="51" spans="1:18" s="610" customFormat="1" ht="3.75" customHeight="1" thickBot="1">
      <c r="A51" s="660"/>
      <c r="B51" s="676"/>
      <c r="C51" s="623"/>
      <c r="D51" s="623"/>
      <c r="E51" s="623"/>
      <c r="F51" s="624"/>
      <c r="G51" s="892"/>
      <c r="H51" s="624"/>
      <c r="I51" s="892"/>
      <c r="J51" s="624"/>
      <c r="K51" s="894"/>
      <c r="M51" s="634"/>
      <c r="N51" s="660"/>
      <c r="O51" s="660"/>
      <c r="P51" s="660"/>
      <c r="Q51" s="708"/>
      <c r="R51" s="774"/>
    </row>
    <row r="52" spans="1:18" s="610" customFormat="1" ht="3.75" customHeight="1">
      <c r="A52" s="660"/>
      <c r="B52" s="660"/>
      <c r="C52" s="660"/>
      <c r="D52" s="660"/>
      <c r="E52" s="660"/>
      <c r="F52" s="633"/>
      <c r="G52" s="673"/>
      <c r="H52" s="633"/>
      <c r="I52" s="673"/>
      <c r="J52" s="633"/>
      <c r="K52" s="673"/>
      <c r="M52" s="634"/>
      <c r="N52" s="660"/>
      <c r="O52" s="660"/>
      <c r="P52" s="660"/>
      <c r="Q52" s="708"/>
      <c r="R52" s="774"/>
    </row>
    <row r="53" spans="1:18" s="610" customFormat="1" ht="12.75" customHeight="1">
      <c r="A53" s="660"/>
      <c r="B53" s="660"/>
      <c r="C53" s="660"/>
      <c r="D53" s="660"/>
      <c r="E53" s="660"/>
      <c r="F53" s="673" t="s">
        <v>492</v>
      </c>
      <c r="G53" s="673"/>
      <c r="H53" s="633"/>
      <c r="I53" s="673"/>
      <c r="K53" s="673"/>
      <c r="M53" s="634"/>
      <c r="N53" s="660"/>
      <c r="O53" s="660"/>
      <c r="P53" s="660"/>
      <c r="Q53" s="708"/>
      <c r="R53" s="774"/>
    </row>
    <row r="54" spans="1:18" s="610" customFormat="1" ht="6" customHeight="1" thickBot="1">
      <c r="A54" s="660"/>
      <c r="B54" s="660"/>
      <c r="C54" s="660"/>
      <c r="D54" s="660"/>
      <c r="E54" s="660"/>
      <c r="F54" s="633"/>
      <c r="G54" s="673"/>
      <c r="H54" s="633"/>
      <c r="I54" s="673"/>
      <c r="J54" s="633"/>
      <c r="K54" s="673"/>
      <c r="M54" s="634"/>
      <c r="N54" s="660"/>
      <c r="O54" s="660"/>
      <c r="P54" s="660"/>
      <c r="Q54" s="708"/>
      <c r="R54" s="774"/>
    </row>
    <row r="55" spans="1:18" s="610" customFormat="1" ht="15" customHeight="1" thickBot="1">
      <c r="A55" s="660"/>
      <c r="B55" s="661" t="s">
        <v>491</v>
      </c>
      <c r="C55" s="639" t="str">
        <f>MID('[2]Geb'!$C$13,1,2)</f>
        <v>Ri</v>
      </c>
      <c r="D55" s="255" t="s">
        <v>482</v>
      </c>
      <c r="F55" s="430"/>
      <c r="G55" s="637" t="s">
        <v>480</v>
      </c>
      <c r="I55" s="673"/>
      <c r="J55" s="633"/>
      <c r="L55" s="641"/>
      <c r="M55" s="677" t="s">
        <v>120</v>
      </c>
      <c r="N55" s="660"/>
      <c r="O55" s="660"/>
      <c r="P55" s="660"/>
      <c r="Q55" s="708"/>
      <c r="R55" s="774"/>
    </row>
    <row r="56" spans="1:18" s="610" customFormat="1" ht="3.75" customHeight="1" thickBot="1">
      <c r="A56" s="660"/>
      <c r="B56" s="661"/>
      <c r="C56" s="643"/>
      <c r="D56" s="255"/>
      <c r="E56" s="637"/>
      <c r="F56" s="637"/>
      <c r="G56" s="637"/>
      <c r="I56" s="673"/>
      <c r="J56" s="633"/>
      <c r="K56" s="673"/>
      <c r="M56" s="634"/>
      <c r="N56" s="660"/>
      <c r="O56" s="660"/>
      <c r="P56" s="660"/>
      <c r="Q56" s="708"/>
      <c r="R56" s="774"/>
    </row>
    <row r="57" spans="1:18" s="610" customFormat="1" ht="15" customHeight="1" thickBot="1">
      <c r="A57" s="660"/>
      <c r="B57" s="661"/>
      <c r="C57" s="661"/>
      <c r="D57" s="661"/>
      <c r="E57" s="661"/>
      <c r="F57" s="678"/>
      <c r="G57" s="673"/>
      <c r="H57" s="637"/>
      <c r="I57" s="673"/>
      <c r="J57" s="633"/>
      <c r="K57" s="673"/>
      <c r="L57" s="641"/>
      <c r="M57" s="677" t="s">
        <v>121</v>
      </c>
      <c r="N57" s="660"/>
      <c r="O57" s="660"/>
      <c r="P57" s="660"/>
      <c r="Q57" s="708"/>
      <c r="R57" s="774"/>
    </row>
    <row r="58" spans="1:18" s="610" customFormat="1" ht="6" customHeight="1" thickBot="1">
      <c r="A58" s="660"/>
      <c r="B58" s="661"/>
      <c r="C58" s="661"/>
      <c r="D58" s="661"/>
      <c r="E58" s="661"/>
      <c r="F58" s="678"/>
      <c r="G58" s="673"/>
      <c r="H58" s="637"/>
      <c r="I58" s="673"/>
      <c r="J58" s="633"/>
      <c r="K58" s="673"/>
      <c r="L58" s="677"/>
      <c r="N58" s="660"/>
      <c r="O58" s="660"/>
      <c r="P58" s="660"/>
      <c r="Q58" s="708"/>
      <c r="R58" s="774"/>
    </row>
    <row r="59" spans="1:18" s="610" customFormat="1" ht="3.75" customHeight="1">
      <c r="A59" s="660"/>
      <c r="B59" s="635"/>
      <c r="C59" s="652"/>
      <c r="D59" s="652"/>
      <c r="E59" s="614"/>
      <c r="F59" s="615"/>
      <c r="G59" s="893"/>
      <c r="H59" s="615"/>
      <c r="I59" s="893"/>
      <c r="J59" s="615"/>
      <c r="K59" s="636"/>
      <c r="M59" s="634"/>
      <c r="N59" s="660"/>
      <c r="O59" s="660"/>
      <c r="P59" s="660"/>
      <c r="Q59" s="708"/>
      <c r="R59" s="774"/>
    </row>
    <row r="60" spans="1:18" s="610" customFormat="1" ht="15" customHeight="1">
      <c r="A60" s="660"/>
      <c r="B60" s="617" t="s">
        <v>510</v>
      </c>
      <c r="C60" s="618" t="str">
        <f>MID('[2]Geb'!$C$13,1,2)</f>
        <v>Ri</v>
      </c>
      <c r="D60" s="671" t="s">
        <v>482</v>
      </c>
      <c r="E60" s="671"/>
      <c r="F60" s="620"/>
      <c r="G60" s="890"/>
      <c r="H60" s="620"/>
      <c r="I60" s="890"/>
      <c r="J60" s="620"/>
      <c r="K60" s="891"/>
      <c r="M60" s="634"/>
      <c r="N60" s="660"/>
      <c r="O60" s="660"/>
      <c r="P60" s="660"/>
      <c r="Q60" s="708"/>
      <c r="R60" s="774"/>
    </row>
    <row r="61" spans="1:18" s="610" customFormat="1" ht="3.75" customHeight="1" thickBot="1">
      <c r="A61" s="660"/>
      <c r="B61" s="676"/>
      <c r="C61" s="623"/>
      <c r="D61" s="623"/>
      <c r="E61" s="623"/>
      <c r="F61" s="624"/>
      <c r="G61" s="892"/>
      <c r="H61" s="624"/>
      <c r="I61" s="892"/>
      <c r="J61" s="624"/>
      <c r="K61" s="894"/>
      <c r="M61" s="634"/>
      <c r="N61" s="660"/>
      <c r="O61" s="660"/>
      <c r="P61" s="660"/>
      <c r="Q61" s="708"/>
      <c r="R61" s="774"/>
    </row>
    <row r="62" spans="1:18" s="610" customFormat="1" ht="6" customHeight="1" thickBot="1">
      <c r="A62" s="660"/>
      <c r="B62" s="660"/>
      <c r="C62" s="660"/>
      <c r="D62" s="660"/>
      <c r="E62" s="660"/>
      <c r="F62" s="633"/>
      <c r="G62" s="673"/>
      <c r="H62" s="633"/>
      <c r="I62" s="673"/>
      <c r="J62" s="633"/>
      <c r="K62" s="673"/>
      <c r="M62" s="634"/>
      <c r="N62" s="660"/>
      <c r="O62" s="660"/>
      <c r="P62" s="660"/>
      <c r="Q62" s="708"/>
      <c r="R62" s="774"/>
    </row>
    <row r="63" spans="1:18" s="610" customFormat="1" ht="15" customHeight="1" thickBot="1">
      <c r="A63" s="660"/>
      <c r="B63" s="661" t="s">
        <v>510</v>
      </c>
      <c r="C63" s="639" t="str">
        <f>MID('[2]Geb'!$C$13,1,2)</f>
        <v>Ri</v>
      </c>
      <c r="D63" s="255" t="s">
        <v>482</v>
      </c>
      <c r="F63" s="430"/>
      <c r="G63" s="637" t="s">
        <v>480</v>
      </c>
      <c r="I63" s="673"/>
      <c r="J63" s="633"/>
      <c r="K63" s="673"/>
      <c r="M63" s="634"/>
      <c r="N63" s="660"/>
      <c r="O63" s="660"/>
      <c r="P63" s="660"/>
      <c r="Q63" s="708"/>
      <c r="R63" s="774"/>
    </row>
    <row r="64" spans="1:18" s="610" customFormat="1" ht="15" customHeight="1" thickBot="1">
      <c r="A64" s="660"/>
      <c r="B64" s="660"/>
      <c r="C64" s="660"/>
      <c r="D64" s="660"/>
      <c r="E64" s="660"/>
      <c r="F64" s="633"/>
      <c r="G64" s="673"/>
      <c r="H64" s="633"/>
      <c r="I64" s="673"/>
      <c r="J64" s="633"/>
      <c r="K64" s="673"/>
      <c r="M64" s="634"/>
      <c r="N64" s="660"/>
      <c r="O64" s="660"/>
      <c r="P64" s="660"/>
      <c r="Q64" s="708"/>
      <c r="R64" s="774"/>
    </row>
    <row r="65" spans="1:18" s="610" customFormat="1" ht="3.75" customHeight="1">
      <c r="A65" s="660"/>
      <c r="B65" s="613"/>
      <c r="C65" s="614"/>
      <c r="D65" s="614"/>
      <c r="E65" s="614"/>
      <c r="F65" s="615"/>
      <c r="G65" s="893"/>
      <c r="H65" s="615"/>
      <c r="I65" s="893"/>
      <c r="J65" s="615"/>
      <c r="K65" s="636"/>
      <c r="M65" s="634"/>
      <c r="N65" s="660"/>
      <c r="O65" s="660"/>
      <c r="P65" s="660"/>
      <c r="Q65" s="708"/>
      <c r="R65" s="774"/>
    </row>
    <row r="66" spans="1:18" s="610" customFormat="1" ht="15" customHeight="1">
      <c r="A66" s="660"/>
      <c r="B66" s="617" t="s">
        <v>511</v>
      </c>
      <c r="C66" s="618" t="str">
        <f>MID('[2]Geb'!$C$13,1,2)</f>
        <v>Ri</v>
      </c>
      <c r="D66" s="671" t="s">
        <v>482</v>
      </c>
      <c r="E66" s="671"/>
      <c r="F66" s="620"/>
      <c r="G66" s="890"/>
      <c r="H66" s="620"/>
      <c r="I66" s="890"/>
      <c r="J66" s="620"/>
      <c r="K66" s="891"/>
      <c r="M66" s="634"/>
      <c r="N66" s="660"/>
      <c r="O66" s="660"/>
      <c r="P66" s="660"/>
      <c r="Q66" s="708"/>
      <c r="R66" s="774"/>
    </row>
    <row r="67" spans="1:18" s="610" customFormat="1" ht="3.75" customHeight="1" thickBot="1">
      <c r="A67" s="660"/>
      <c r="B67" s="676"/>
      <c r="C67" s="623"/>
      <c r="D67" s="623"/>
      <c r="E67" s="623"/>
      <c r="F67" s="624"/>
      <c r="G67" s="892"/>
      <c r="H67" s="624"/>
      <c r="I67" s="892"/>
      <c r="J67" s="624"/>
      <c r="K67" s="894"/>
      <c r="M67" s="634"/>
      <c r="N67" s="660"/>
      <c r="O67" s="660"/>
      <c r="P67" s="660"/>
      <c r="Q67" s="708"/>
      <c r="R67" s="774"/>
    </row>
    <row r="68" spans="1:18" s="610" customFormat="1" ht="6" customHeight="1" thickBot="1">
      <c r="A68" s="660"/>
      <c r="B68" s="660"/>
      <c r="C68" s="660"/>
      <c r="D68" s="660"/>
      <c r="E68" s="660"/>
      <c r="F68" s="633"/>
      <c r="G68" s="673"/>
      <c r="H68" s="633"/>
      <c r="I68" s="673"/>
      <c r="J68" s="633"/>
      <c r="K68" s="633"/>
      <c r="M68" s="634"/>
      <c r="N68" s="660"/>
      <c r="O68" s="660"/>
      <c r="P68" s="660"/>
      <c r="Q68" s="708"/>
      <c r="R68" s="774"/>
    </row>
    <row r="69" spans="1:18" s="610" customFormat="1" ht="15" customHeight="1" thickBot="1">
      <c r="A69" s="660"/>
      <c r="B69" s="661" t="s">
        <v>511</v>
      </c>
      <c r="C69" s="639" t="str">
        <f>MID('[2]Geb'!$C$13,1,2)</f>
        <v>Ri</v>
      </c>
      <c r="D69" s="255" t="s">
        <v>482</v>
      </c>
      <c r="F69" s="430"/>
      <c r="G69" s="637" t="s">
        <v>480</v>
      </c>
      <c r="I69" s="673"/>
      <c r="J69" s="633"/>
      <c r="K69" s="633"/>
      <c r="M69" s="634"/>
      <c r="N69" s="660"/>
      <c r="O69" s="660"/>
      <c r="P69" s="660"/>
      <c r="Q69" s="708"/>
      <c r="R69" s="774"/>
    </row>
    <row r="70" spans="1:18" s="610" customFormat="1" ht="6" customHeight="1">
      <c r="A70" s="660"/>
      <c r="B70" s="661"/>
      <c r="C70" s="643"/>
      <c r="D70" s="255"/>
      <c r="I70" s="673"/>
      <c r="J70" s="633"/>
      <c r="K70" s="633"/>
      <c r="M70" s="634"/>
      <c r="N70" s="660"/>
      <c r="O70" s="660"/>
      <c r="P70" s="660"/>
      <c r="Q70" s="708"/>
      <c r="R70" s="774"/>
    </row>
    <row r="71" spans="1:18" s="610" customFormat="1" ht="15" customHeight="1">
      <c r="A71" s="631"/>
      <c r="B71" s="631"/>
      <c r="C71" s="631"/>
      <c r="D71" s="631"/>
      <c r="E71" s="631"/>
      <c r="F71" s="633"/>
      <c r="G71" s="633"/>
      <c r="H71" s="633"/>
      <c r="I71" s="673"/>
      <c r="J71" s="633"/>
      <c r="K71" s="633"/>
      <c r="Q71" s="708"/>
      <c r="R71" s="774"/>
    </row>
    <row r="72" spans="2:18" s="610" customFormat="1" ht="15" customHeight="1">
      <c r="B72" s="679" t="s">
        <v>386</v>
      </c>
      <c r="C72" s="680"/>
      <c r="D72" s="680"/>
      <c r="E72" s="680"/>
      <c r="F72" s="681"/>
      <c r="G72" s="681"/>
      <c r="H72" s="681"/>
      <c r="I72" s="895"/>
      <c r="J72" s="681"/>
      <c r="K72" s="681"/>
      <c r="L72" s="682"/>
      <c r="M72" s="682"/>
      <c r="N72" s="682"/>
      <c r="O72" s="682"/>
      <c r="P72" s="1"/>
      <c r="Q72" s="708"/>
      <c r="R72" s="774"/>
    </row>
    <row r="73" spans="2:18" s="610" customFormat="1" ht="3.75" customHeight="1">
      <c r="B73" s="627"/>
      <c r="C73" s="627"/>
      <c r="D73" s="627"/>
      <c r="E73" s="627"/>
      <c r="F73" s="627"/>
      <c r="G73" s="628"/>
      <c r="H73" s="628"/>
      <c r="I73" s="896"/>
      <c r="J73" s="628"/>
      <c r="K73" s="628"/>
      <c r="L73" s="627"/>
      <c r="M73" s="627"/>
      <c r="N73" s="627"/>
      <c r="O73" s="627"/>
      <c r="P73" s="1"/>
      <c r="Q73" s="708"/>
      <c r="R73" s="774"/>
    </row>
    <row r="74" spans="1:18" s="610" customFormat="1" ht="15" customHeight="1">
      <c r="A74" s="631"/>
      <c r="B74" s="627"/>
      <c r="C74" s="627" t="s">
        <v>493</v>
      </c>
      <c r="D74" s="611"/>
      <c r="E74" s="611"/>
      <c r="F74" s="611"/>
      <c r="G74" s="611"/>
      <c r="H74" s="611"/>
      <c r="I74" s="611"/>
      <c r="J74" s="807" t="str">
        <f>IF(F17="","noch leer",F17)</f>
        <v>noch leer</v>
      </c>
      <c r="K74" s="628"/>
      <c r="L74" s="627" t="s">
        <v>464</v>
      </c>
      <c r="M74" s="628"/>
      <c r="N74" s="627"/>
      <c r="O74" s="627"/>
      <c r="P74" s="1"/>
      <c r="Q74" s="708"/>
      <c r="R74" s="774"/>
    </row>
    <row r="75" spans="1:18" s="610" customFormat="1" ht="3" customHeight="1">
      <c r="A75" s="631"/>
      <c r="B75" s="627"/>
      <c r="C75" s="627"/>
      <c r="D75" s="611"/>
      <c r="E75" s="611"/>
      <c r="F75" s="611"/>
      <c r="G75" s="611"/>
      <c r="H75" s="611"/>
      <c r="I75" s="611"/>
      <c r="J75" s="628"/>
      <c r="K75" s="628"/>
      <c r="L75" s="627"/>
      <c r="M75" s="628"/>
      <c r="N75" s="627"/>
      <c r="O75" s="627"/>
      <c r="P75" s="1"/>
      <c r="Q75" s="708"/>
      <c r="R75" s="774"/>
    </row>
    <row r="76" spans="1:18" s="610" customFormat="1" ht="15" customHeight="1">
      <c r="A76" s="631"/>
      <c r="B76" s="627"/>
      <c r="C76" s="627" t="s">
        <v>393</v>
      </c>
      <c r="D76" s="611"/>
      <c r="E76" s="611"/>
      <c r="F76" s="611"/>
      <c r="G76" s="611"/>
      <c r="H76" s="611"/>
      <c r="I76" s="611"/>
      <c r="J76" s="808" t="str">
        <f>IF(F37="","noch leer",F37)</f>
        <v>noch leer</v>
      </c>
      <c r="K76" s="628"/>
      <c r="L76" s="627" t="s">
        <v>479</v>
      </c>
      <c r="M76" s="628"/>
      <c r="N76" s="627"/>
      <c r="O76" s="627"/>
      <c r="P76" s="1"/>
      <c r="Q76" s="708"/>
      <c r="R76" s="774"/>
    </row>
    <row r="77" spans="1:18" s="610" customFormat="1" ht="3" customHeight="1">
      <c r="A77" s="631"/>
      <c r="B77" s="627"/>
      <c r="C77" s="627"/>
      <c r="D77" s="611"/>
      <c r="E77" s="611"/>
      <c r="F77" s="611"/>
      <c r="G77" s="611"/>
      <c r="H77" s="611"/>
      <c r="I77" s="611"/>
      <c r="J77" s="791"/>
      <c r="K77" s="628"/>
      <c r="L77" s="627"/>
      <c r="M77" s="628"/>
      <c r="N77" s="627"/>
      <c r="O77" s="627"/>
      <c r="P77" s="1"/>
      <c r="Q77" s="708"/>
      <c r="R77" s="774"/>
    </row>
    <row r="78" spans="1:18" s="610" customFormat="1" ht="15" customHeight="1">
      <c r="A78" s="631"/>
      <c r="B78" s="627"/>
      <c r="C78" s="627" t="s">
        <v>512</v>
      </c>
      <c r="D78" s="611"/>
      <c r="E78" s="611"/>
      <c r="F78" s="611"/>
      <c r="G78" s="611"/>
      <c r="H78" s="611"/>
      <c r="I78" s="611"/>
      <c r="J78" s="808" t="str">
        <f>IF(F63="","noch leer",F63)</f>
        <v>noch leer</v>
      </c>
      <c r="K78" s="628"/>
      <c r="L78" s="627" t="s">
        <v>479</v>
      </c>
      <c r="M78" s="628"/>
      <c r="N78" s="627"/>
      <c r="O78" s="627"/>
      <c r="P78" s="1"/>
      <c r="Q78" s="708"/>
      <c r="R78" s="774"/>
    </row>
    <row r="79" spans="1:18" s="610" customFormat="1" ht="3" customHeight="1">
      <c r="A79" s="631"/>
      <c r="B79" s="627"/>
      <c r="C79" s="627"/>
      <c r="D79" s="611"/>
      <c r="E79" s="611"/>
      <c r="F79" s="611"/>
      <c r="G79" s="611"/>
      <c r="H79" s="611"/>
      <c r="I79" s="611"/>
      <c r="J79" s="791"/>
      <c r="K79" s="628"/>
      <c r="L79" s="627"/>
      <c r="M79" s="628"/>
      <c r="N79" s="627"/>
      <c r="O79" s="627"/>
      <c r="P79" s="1"/>
      <c r="Q79" s="708"/>
      <c r="R79" s="774"/>
    </row>
    <row r="80" spans="1:18" s="610" customFormat="1" ht="15" customHeight="1">
      <c r="A80" s="631"/>
      <c r="B80" s="627"/>
      <c r="C80" s="627" t="s">
        <v>490</v>
      </c>
      <c r="D80" s="611"/>
      <c r="E80" s="611"/>
      <c r="F80" s="611"/>
      <c r="G80" s="611"/>
      <c r="H80" s="611"/>
      <c r="I80" s="611"/>
      <c r="J80" s="808" t="str">
        <f>IF(F47="","noch leer",F47)</f>
        <v>noch leer</v>
      </c>
      <c r="K80" s="628"/>
      <c r="L80" s="627" t="s">
        <v>479</v>
      </c>
      <c r="M80" s="628"/>
      <c r="N80" s="627"/>
      <c r="O80" s="627"/>
      <c r="P80" s="1"/>
      <c r="Q80" s="708"/>
      <c r="R80" s="774"/>
    </row>
    <row r="81" spans="1:18" s="610" customFormat="1" ht="3" customHeight="1">
      <c r="A81" s="631"/>
      <c r="B81" s="627"/>
      <c r="C81" s="627"/>
      <c r="D81" s="611"/>
      <c r="E81" s="611"/>
      <c r="F81" s="611"/>
      <c r="G81" s="611"/>
      <c r="H81" s="611"/>
      <c r="I81" s="611"/>
      <c r="J81" s="791"/>
      <c r="K81" s="628"/>
      <c r="L81" s="627"/>
      <c r="M81" s="628"/>
      <c r="N81" s="627"/>
      <c r="O81" s="627"/>
      <c r="P81" s="1"/>
      <c r="Q81" s="708"/>
      <c r="R81" s="774"/>
    </row>
    <row r="82" spans="1:18" s="610" customFormat="1" ht="15" customHeight="1">
      <c r="A82" s="631"/>
      <c r="B82" s="627"/>
      <c r="C82" s="627" t="s">
        <v>513</v>
      </c>
      <c r="D82" s="611"/>
      <c r="E82" s="611"/>
      <c r="F82" s="611"/>
      <c r="G82" s="611"/>
      <c r="H82" s="611"/>
      <c r="I82" s="611"/>
      <c r="J82" s="808" t="str">
        <f>IF(F69="","noch leer",F69)</f>
        <v>noch leer</v>
      </c>
      <c r="K82" s="628"/>
      <c r="L82" s="627" t="s">
        <v>479</v>
      </c>
      <c r="M82" s="628"/>
      <c r="N82" s="627"/>
      <c r="O82" s="627"/>
      <c r="P82" s="1"/>
      <c r="Q82" s="708"/>
      <c r="R82" s="774"/>
    </row>
    <row r="83" spans="1:18" s="610" customFormat="1" ht="3.75" customHeight="1">
      <c r="A83" s="631"/>
      <c r="B83" s="611"/>
      <c r="C83" s="611"/>
      <c r="D83" s="611"/>
      <c r="E83" s="611"/>
      <c r="F83" s="628"/>
      <c r="G83" s="628"/>
      <c r="H83" s="628"/>
      <c r="I83" s="896"/>
      <c r="J83" s="628"/>
      <c r="K83" s="628"/>
      <c r="L83" s="627"/>
      <c r="M83" s="627"/>
      <c r="N83" s="627"/>
      <c r="O83" s="627"/>
      <c r="P83" s="1"/>
      <c r="Q83" s="708"/>
      <c r="R83" s="774"/>
    </row>
    <row r="84" spans="1:18" s="610" customFormat="1" ht="15" customHeight="1">
      <c r="A84" s="631"/>
      <c r="B84" s="631"/>
      <c r="C84" s="631"/>
      <c r="D84" s="631"/>
      <c r="E84" s="631"/>
      <c r="F84" s="633"/>
      <c r="G84" s="633"/>
      <c r="H84" s="633"/>
      <c r="I84" s="673"/>
      <c r="J84" s="633"/>
      <c r="K84" s="633"/>
      <c r="Q84" s="708"/>
      <c r="R84" s="774"/>
    </row>
    <row r="85" spans="19:246" s="1" customFormat="1" ht="12.75" customHeight="1" hidden="1">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3"/>
      <c r="BA85" s="683"/>
      <c r="BB85" s="683"/>
      <c r="BC85" s="683"/>
      <c r="BD85" s="683"/>
      <c r="BE85" s="683"/>
      <c r="BF85" s="683"/>
      <c r="BG85" s="683"/>
      <c r="BH85" s="683"/>
      <c r="BI85" s="683"/>
      <c r="BJ85" s="683"/>
      <c r="BK85" s="683"/>
      <c r="BL85" s="683"/>
      <c r="BM85" s="683"/>
      <c r="BN85" s="683"/>
      <c r="BO85" s="683"/>
      <c r="BP85" s="683"/>
      <c r="BQ85" s="683"/>
      <c r="BR85" s="683"/>
      <c r="BS85" s="683"/>
      <c r="BT85" s="683"/>
      <c r="BU85" s="683"/>
      <c r="BV85" s="683"/>
      <c r="BW85" s="683"/>
      <c r="BX85" s="683"/>
      <c r="BY85" s="683"/>
      <c r="BZ85" s="683"/>
      <c r="CA85" s="683"/>
      <c r="CB85" s="683"/>
      <c r="CC85" s="683"/>
      <c r="CD85" s="683"/>
      <c r="CE85" s="683"/>
      <c r="CF85" s="683"/>
      <c r="CG85" s="683"/>
      <c r="CH85" s="683"/>
      <c r="CI85" s="683"/>
      <c r="CJ85" s="683"/>
      <c r="CK85" s="683"/>
      <c r="CL85" s="683"/>
      <c r="CM85" s="683"/>
      <c r="CN85" s="683"/>
      <c r="CO85" s="683"/>
      <c r="CP85" s="683"/>
      <c r="CQ85" s="683"/>
      <c r="CR85" s="683"/>
      <c r="CS85" s="683"/>
      <c r="CT85" s="683"/>
      <c r="CU85" s="683"/>
      <c r="CV85" s="683"/>
      <c r="CW85" s="683"/>
      <c r="CX85" s="683"/>
      <c r="CY85" s="683"/>
      <c r="CZ85" s="683"/>
      <c r="DA85" s="683"/>
      <c r="DB85" s="683"/>
      <c r="DC85" s="683"/>
      <c r="DD85" s="683"/>
      <c r="DE85" s="683"/>
      <c r="DF85" s="683"/>
      <c r="DG85" s="683"/>
      <c r="DH85" s="683"/>
      <c r="DI85" s="683"/>
      <c r="DJ85" s="683"/>
      <c r="DK85" s="683"/>
      <c r="DL85" s="683"/>
      <c r="DM85" s="683"/>
      <c r="DN85" s="683"/>
      <c r="DO85" s="683"/>
      <c r="DP85" s="683"/>
      <c r="DQ85" s="683"/>
      <c r="DR85" s="683"/>
      <c r="DS85" s="683"/>
      <c r="DT85" s="683"/>
      <c r="DU85" s="683"/>
      <c r="DV85" s="683"/>
      <c r="DW85" s="683"/>
      <c r="DX85" s="683"/>
      <c r="DY85" s="683"/>
      <c r="DZ85" s="683"/>
      <c r="EA85" s="683"/>
      <c r="EB85" s="683"/>
      <c r="EC85" s="683"/>
      <c r="ED85" s="683"/>
      <c r="EE85" s="683"/>
      <c r="EF85" s="683"/>
      <c r="EG85" s="683"/>
      <c r="EH85" s="683"/>
      <c r="EI85" s="683"/>
      <c r="EJ85" s="683"/>
      <c r="EK85" s="683"/>
      <c r="EL85" s="683"/>
      <c r="EM85" s="683"/>
      <c r="EN85" s="683"/>
      <c r="EO85" s="683"/>
      <c r="EP85" s="683"/>
      <c r="EQ85" s="683"/>
      <c r="ER85" s="683"/>
      <c r="ES85" s="683"/>
      <c r="ET85" s="683"/>
      <c r="EU85" s="683"/>
      <c r="EV85" s="683"/>
      <c r="EW85" s="683"/>
      <c r="EX85" s="683"/>
      <c r="EY85" s="683"/>
      <c r="EZ85" s="683"/>
      <c r="FA85" s="683"/>
      <c r="FB85" s="683"/>
      <c r="FC85" s="683"/>
      <c r="FD85" s="683"/>
      <c r="FE85" s="683"/>
      <c r="FF85" s="683"/>
      <c r="FG85" s="683"/>
      <c r="FH85" s="683"/>
      <c r="FI85" s="683"/>
      <c r="FJ85" s="683"/>
      <c r="FK85" s="683"/>
      <c r="FL85" s="683"/>
      <c r="FM85" s="683"/>
      <c r="FN85" s="683"/>
      <c r="FO85" s="683"/>
      <c r="FP85" s="683"/>
      <c r="FQ85" s="683"/>
      <c r="FR85" s="683"/>
      <c r="FS85" s="683"/>
      <c r="FT85" s="683"/>
      <c r="FU85" s="683"/>
      <c r="FV85" s="683"/>
      <c r="FW85" s="683"/>
      <c r="FX85" s="683"/>
      <c r="FY85" s="683"/>
      <c r="FZ85" s="683"/>
      <c r="GA85" s="683"/>
      <c r="GB85" s="683"/>
      <c r="GC85" s="683"/>
      <c r="GD85" s="683"/>
      <c r="GE85" s="683"/>
      <c r="GF85" s="683"/>
      <c r="GG85" s="683"/>
      <c r="GH85" s="683"/>
      <c r="GI85" s="683"/>
      <c r="GJ85" s="683"/>
      <c r="GK85" s="683"/>
      <c r="GL85" s="683"/>
      <c r="GM85" s="683"/>
      <c r="GN85" s="683"/>
      <c r="GO85" s="683"/>
      <c r="GP85" s="683"/>
      <c r="GQ85" s="683"/>
      <c r="GR85" s="683"/>
      <c r="GS85" s="683"/>
      <c r="GT85" s="683"/>
      <c r="GU85" s="683"/>
      <c r="GV85" s="683"/>
      <c r="GW85" s="683"/>
      <c r="GX85" s="683"/>
      <c r="GY85" s="683"/>
      <c r="GZ85" s="683"/>
      <c r="HA85" s="683"/>
      <c r="HB85" s="683"/>
      <c r="HC85" s="683"/>
      <c r="HD85" s="683"/>
      <c r="HE85" s="683"/>
      <c r="HF85" s="683"/>
      <c r="HG85" s="683"/>
      <c r="HH85" s="683"/>
      <c r="HI85" s="683"/>
      <c r="HJ85" s="683"/>
      <c r="HK85" s="683"/>
      <c r="HL85" s="683"/>
      <c r="HM85" s="683"/>
      <c r="HN85" s="683"/>
      <c r="HO85" s="683"/>
      <c r="HP85" s="683"/>
      <c r="HQ85" s="683"/>
      <c r="HR85" s="683"/>
      <c r="HS85" s="683"/>
      <c r="HT85" s="683"/>
      <c r="HU85" s="683"/>
      <c r="HV85" s="683"/>
      <c r="HW85" s="683"/>
      <c r="HX85" s="683"/>
      <c r="HY85" s="683"/>
      <c r="HZ85" s="683"/>
      <c r="IA85" s="683"/>
      <c r="IB85" s="683"/>
      <c r="IC85" s="683"/>
      <c r="ID85" s="683"/>
      <c r="IE85" s="683"/>
      <c r="IF85" s="683"/>
      <c r="IG85" s="683"/>
      <c r="IH85" s="683"/>
      <c r="II85" s="683"/>
      <c r="IJ85" s="683"/>
      <c r="IK85" s="683"/>
      <c r="IL85" s="683"/>
    </row>
    <row r="86" spans="1:246" s="1" customFormat="1" ht="12.75" customHeight="1" hidden="1">
      <c r="A86" s="684" t="s">
        <v>494</v>
      </c>
      <c r="F86" s="684" t="s">
        <v>495</v>
      </c>
      <c r="G86" s="684"/>
      <c r="H86" s="684"/>
      <c r="I86" s="684"/>
      <c r="L86" s="685" t="s">
        <v>119</v>
      </c>
      <c r="M86" s="686"/>
      <c r="N86" s="686"/>
      <c r="S86" s="683"/>
      <c r="T86" s="683"/>
      <c r="U86" s="683"/>
      <c r="V86" s="683"/>
      <c r="W86" s="683"/>
      <c r="X86" s="683"/>
      <c r="Y86" s="683"/>
      <c r="Z86" s="683"/>
      <c r="AA86" s="683"/>
      <c r="AB86" s="683"/>
      <c r="AC86" s="683"/>
      <c r="AD86" s="683"/>
      <c r="AE86" s="683"/>
      <c r="AF86" s="683"/>
      <c r="AG86" s="683"/>
      <c r="AH86" s="683"/>
      <c r="AI86" s="683"/>
      <c r="AJ86" s="683"/>
      <c r="AK86" s="683"/>
      <c r="AL86" s="683"/>
      <c r="AM86" s="683"/>
      <c r="AN86" s="683"/>
      <c r="AO86" s="683"/>
      <c r="AP86" s="683"/>
      <c r="AQ86" s="683"/>
      <c r="AR86" s="683"/>
      <c r="AS86" s="683"/>
      <c r="AT86" s="683"/>
      <c r="AU86" s="683"/>
      <c r="AV86" s="683"/>
      <c r="AW86" s="683"/>
      <c r="AX86" s="683"/>
      <c r="AY86" s="683"/>
      <c r="AZ86" s="683"/>
      <c r="BA86" s="683"/>
      <c r="BB86" s="683"/>
      <c r="BC86" s="683"/>
      <c r="BD86" s="683"/>
      <c r="BE86" s="683"/>
      <c r="BF86" s="683"/>
      <c r="BG86" s="683"/>
      <c r="BH86" s="683"/>
      <c r="BI86" s="683"/>
      <c r="BJ86" s="683"/>
      <c r="BK86" s="683"/>
      <c r="BL86" s="683"/>
      <c r="BM86" s="683"/>
      <c r="BN86" s="683"/>
      <c r="BO86" s="683"/>
      <c r="BP86" s="683"/>
      <c r="BQ86" s="683"/>
      <c r="BR86" s="683"/>
      <c r="BS86" s="683"/>
      <c r="BT86" s="683"/>
      <c r="BU86" s="683"/>
      <c r="BV86" s="683"/>
      <c r="BW86" s="683"/>
      <c r="BX86" s="683"/>
      <c r="BY86" s="683"/>
      <c r="BZ86" s="683"/>
      <c r="CA86" s="683"/>
      <c r="CB86" s="683"/>
      <c r="CC86" s="683"/>
      <c r="CD86" s="683"/>
      <c r="CE86" s="683"/>
      <c r="CF86" s="683"/>
      <c r="CG86" s="683"/>
      <c r="CH86" s="683"/>
      <c r="CI86" s="683"/>
      <c r="CJ86" s="683"/>
      <c r="CK86" s="683"/>
      <c r="CL86" s="683"/>
      <c r="CM86" s="683"/>
      <c r="CN86" s="683"/>
      <c r="CO86" s="683"/>
      <c r="CP86" s="683"/>
      <c r="CQ86" s="683"/>
      <c r="CR86" s="683"/>
      <c r="CS86" s="683"/>
      <c r="CT86" s="683"/>
      <c r="CU86" s="683"/>
      <c r="CV86" s="683"/>
      <c r="CW86" s="683"/>
      <c r="CX86" s="683"/>
      <c r="CY86" s="683"/>
      <c r="CZ86" s="683"/>
      <c r="DA86" s="683"/>
      <c r="DB86" s="683"/>
      <c r="DC86" s="683"/>
      <c r="DD86" s="683"/>
      <c r="DE86" s="683"/>
      <c r="DF86" s="683"/>
      <c r="DG86" s="683"/>
      <c r="DH86" s="683"/>
      <c r="DI86" s="683"/>
      <c r="DJ86" s="683"/>
      <c r="DK86" s="683"/>
      <c r="DL86" s="683"/>
      <c r="DM86" s="683"/>
      <c r="DN86" s="683"/>
      <c r="DO86" s="683"/>
      <c r="DP86" s="683"/>
      <c r="DQ86" s="683"/>
      <c r="DR86" s="683"/>
      <c r="DS86" s="683"/>
      <c r="DT86" s="683"/>
      <c r="DU86" s="683"/>
      <c r="DV86" s="683"/>
      <c r="DW86" s="683"/>
      <c r="DX86" s="683"/>
      <c r="DY86" s="683"/>
      <c r="DZ86" s="683"/>
      <c r="EA86" s="683"/>
      <c r="EB86" s="683"/>
      <c r="EC86" s="683"/>
      <c r="ED86" s="683"/>
      <c r="EE86" s="683"/>
      <c r="EF86" s="683"/>
      <c r="EG86" s="683"/>
      <c r="EH86" s="683"/>
      <c r="EI86" s="683"/>
      <c r="EJ86" s="683"/>
      <c r="EK86" s="683"/>
      <c r="EL86" s="683"/>
      <c r="EM86" s="683"/>
      <c r="EN86" s="683"/>
      <c r="EO86" s="683"/>
      <c r="EP86" s="683"/>
      <c r="EQ86" s="683"/>
      <c r="ER86" s="683"/>
      <c r="ES86" s="683"/>
      <c r="ET86" s="683"/>
      <c r="EU86" s="683"/>
      <c r="EV86" s="683"/>
      <c r="EW86" s="683"/>
      <c r="EX86" s="683"/>
      <c r="EY86" s="683"/>
      <c r="EZ86" s="683"/>
      <c r="FA86" s="683"/>
      <c r="FB86" s="683"/>
      <c r="FC86" s="683"/>
      <c r="FD86" s="683"/>
      <c r="FE86" s="683"/>
      <c r="FF86" s="683"/>
      <c r="FG86" s="683"/>
      <c r="FH86" s="683"/>
      <c r="FI86" s="683"/>
      <c r="FJ86" s="683"/>
      <c r="FK86" s="683"/>
      <c r="FL86" s="683"/>
      <c r="FM86" s="683"/>
      <c r="FN86" s="683"/>
      <c r="FO86" s="683"/>
      <c r="FP86" s="683"/>
      <c r="FQ86" s="683"/>
      <c r="FR86" s="683"/>
      <c r="FS86" s="683"/>
      <c r="FT86" s="683"/>
      <c r="FU86" s="683"/>
      <c r="FV86" s="683"/>
      <c r="FW86" s="683"/>
      <c r="FX86" s="683"/>
      <c r="FY86" s="683"/>
      <c r="FZ86" s="683"/>
      <c r="GA86" s="683"/>
      <c r="GB86" s="683"/>
      <c r="GC86" s="683"/>
      <c r="GD86" s="683"/>
      <c r="GE86" s="683"/>
      <c r="GF86" s="683"/>
      <c r="GG86" s="683"/>
      <c r="GH86" s="683"/>
      <c r="GI86" s="683"/>
      <c r="GJ86" s="683"/>
      <c r="GK86" s="683"/>
      <c r="GL86" s="683"/>
      <c r="GM86" s="683"/>
      <c r="GN86" s="683"/>
      <c r="GO86" s="683"/>
      <c r="GP86" s="683"/>
      <c r="GQ86" s="683"/>
      <c r="GR86" s="683"/>
      <c r="GS86" s="683"/>
      <c r="GT86" s="683"/>
      <c r="GU86" s="683"/>
      <c r="GV86" s="683"/>
      <c r="GW86" s="683"/>
      <c r="GX86" s="683"/>
      <c r="GY86" s="683"/>
      <c r="GZ86" s="683"/>
      <c r="HA86" s="683"/>
      <c r="HB86" s="683"/>
      <c r="HC86" s="683"/>
      <c r="HD86" s="683"/>
      <c r="HE86" s="683"/>
      <c r="HF86" s="683"/>
      <c r="HG86" s="683"/>
      <c r="HH86" s="683"/>
      <c r="HI86" s="683"/>
      <c r="HJ86" s="683"/>
      <c r="HK86" s="683"/>
      <c r="HL86" s="683"/>
      <c r="HM86" s="683"/>
      <c r="HN86" s="683"/>
      <c r="HO86" s="683"/>
      <c r="HP86" s="683"/>
      <c r="HQ86" s="683"/>
      <c r="HR86" s="683"/>
      <c r="HS86" s="683"/>
      <c r="HT86" s="683"/>
      <c r="HU86" s="683"/>
      <c r="HV86" s="683"/>
      <c r="HW86" s="683"/>
      <c r="HX86" s="683"/>
      <c r="HY86" s="683"/>
      <c r="HZ86" s="683"/>
      <c r="IA86" s="683"/>
      <c r="IB86" s="683"/>
      <c r="IC86" s="683"/>
      <c r="ID86" s="683"/>
      <c r="IE86" s="683"/>
      <c r="IF86" s="683"/>
      <c r="IG86" s="683"/>
      <c r="IH86" s="683"/>
      <c r="II86" s="683"/>
      <c r="IJ86" s="683"/>
      <c r="IK86" s="683"/>
      <c r="IL86" s="683"/>
    </row>
    <row r="87" spans="1:246" s="1" customFormat="1" ht="12.75" customHeight="1" hidden="1">
      <c r="A87" s="22" t="s">
        <v>394</v>
      </c>
      <c r="F87" s="687" t="s">
        <v>171</v>
      </c>
      <c r="G87" s="687"/>
      <c r="H87" s="22"/>
      <c r="I87" s="22"/>
      <c r="L87" s="22" t="s">
        <v>11</v>
      </c>
      <c r="M87" s="22"/>
      <c r="N87" s="22"/>
      <c r="S87" s="683"/>
      <c r="T87" s="683"/>
      <c r="U87" s="683"/>
      <c r="V87" s="683"/>
      <c r="W87" s="683"/>
      <c r="X87" s="683"/>
      <c r="Y87" s="683"/>
      <c r="Z87" s="683"/>
      <c r="AA87" s="683"/>
      <c r="AB87" s="683"/>
      <c r="AC87" s="683"/>
      <c r="AD87" s="683"/>
      <c r="AE87" s="683"/>
      <c r="AF87" s="683"/>
      <c r="AG87" s="683"/>
      <c r="AH87" s="683"/>
      <c r="AI87" s="683"/>
      <c r="AJ87" s="683"/>
      <c r="AK87" s="683"/>
      <c r="AL87" s="683"/>
      <c r="AM87" s="683"/>
      <c r="AN87" s="683"/>
      <c r="AO87" s="683"/>
      <c r="AP87" s="683"/>
      <c r="AQ87" s="683"/>
      <c r="AR87" s="683"/>
      <c r="AS87" s="683"/>
      <c r="AT87" s="683"/>
      <c r="AU87" s="683"/>
      <c r="AV87" s="683"/>
      <c r="AW87" s="683"/>
      <c r="AX87" s="683"/>
      <c r="AY87" s="683"/>
      <c r="AZ87" s="683"/>
      <c r="BA87" s="683"/>
      <c r="BB87" s="683"/>
      <c r="BC87" s="683"/>
      <c r="BD87" s="683"/>
      <c r="BE87" s="683"/>
      <c r="BF87" s="683"/>
      <c r="BG87" s="683"/>
      <c r="BH87" s="683"/>
      <c r="BI87" s="683"/>
      <c r="BJ87" s="683"/>
      <c r="BK87" s="683"/>
      <c r="BL87" s="683"/>
      <c r="BM87" s="683"/>
      <c r="BN87" s="683"/>
      <c r="BO87" s="683"/>
      <c r="BP87" s="683"/>
      <c r="BQ87" s="683"/>
      <c r="BR87" s="683"/>
      <c r="BS87" s="683"/>
      <c r="BT87" s="683"/>
      <c r="BU87" s="683"/>
      <c r="BV87" s="683"/>
      <c r="BW87" s="683"/>
      <c r="BX87" s="683"/>
      <c r="BY87" s="683"/>
      <c r="BZ87" s="683"/>
      <c r="CA87" s="683"/>
      <c r="CB87" s="683"/>
      <c r="CC87" s="683"/>
      <c r="CD87" s="683"/>
      <c r="CE87" s="683"/>
      <c r="CF87" s="683"/>
      <c r="CG87" s="683"/>
      <c r="CH87" s="683"/>
      <c r="CI87" s="683"/>
      <c r="CJ87" s="683"/>
      <c r="CK87" s="683"/>
      <c r="CL87" s="683"/>
      <c r="CM87" s="683"/>
      <c r="CN87" s="683"/>
      <c r="CO87" s="683"/>
      <c r="CP87" s="683"/>
      <c r="CQ87" s="683"/>
      <c r="CR87" s="683"/>
      <c r="CS87" s="683"/>
      <c r="CT87" s="683"/>
      <c r="CU87" s="683"/>
      <c r="CV87" s="683"/>
      <c r="CW87" s="683"/>
      <c r="CX87" s="683"/>
      <c r="CY87" s="683"/>
      <c r="CZ87" s="683"/>
      <c r="DA87" s="683"/>
      <c r="DB87" s="683"/>
      <c r="DC87" s="683"/>
      <c r="DD87" s="683"/>
      <c r="DE87" s="683"/>
      <c r="DF87" s="683"/>
      <c r="DG87" s="683"/>
      <c r="DH87" s="683"/>
      <c r="DI87" s="683"/>
      <c r="DJ87" s="683"/>
      <c r="DK87" s="683"/>
      <c r="DL87" s="683"/>
      <c r="DM87" s="683"/>
      <c r="DN87" s="683"/>
      <c r="DO87" s="683"/>
      <c r="DP87" s="683"/>
      <c r="DQ87" s="683"/>
      <c r="DR87" s="683"/>
      <c r="DS87" s="683"/>
      <c r="DT87" s="683"/>
      <c r="DU87" s="683"/>
      <c r="DV87" s="683"/>
      <c r="DW87" s="683"/>
      <c r="DX87" s="683"/>
      <c r="DY87" s="683"/>
      <c r="DZ87" s="683"/>
      <c r="EA87" s="683"/>
      <c r="EB87" s="683"/>
      <c r="EC87" s="683"/>
      <c r="ED87" s="683"/>
      <c r="EE87" s="683"/>
      <c r="EF87" s="683"/>
      <c r="EG87" s="683"/>
      <c r="EH87" s="683"/>
      <c r="EI87" s="683"/>
      <c r="EJ87" s="683"/>
      <c r="EK87" s="683"/>
      <c r="EL87" s="683"/>
      <c r="EM87" s="683"/>
      <c r="EN87" s="683"/>
      <c r="EO87" s="683"/>
      <c r="EP87" s="683"/>
      <c r="EQ87" s="683"/>
      <c r="ER87" s="683"/>
      <c r="ES87" s="683"/>
      <c r="ET87" s="683"/>
      <c r="EU87" s="683"/>
      <c r="EV87" s="683"/>
      <c r="EW87" s="683"/>
      <c r="EX87" s="683"/>
      <c r="EY87" s="683"/>
      <c r="EZ87" s="683"/>
      <c r="FA87" s="683"/>
      <c r="FB87" s="683"/>
      <c r="FC87" s="683"/>
      <c r="FD87" s="683"/>
      <c r="FE87" s="683"/>
      <c r="FF87" s="683"/>
      <c r="FG87" s="683"/>
      <c r="FH87" s="683"/>
      <c r="FI87" s="683"/>
      <c r="FJ87" s="683"/>
      <c r="FK87" s="683"/>
      <c r="FL87" s="683"/>
      <c r="FM87" s="683"/>
      <c r="FN87" s="683"/>
      <c r="FO87" s="683"/>
      <c r="FP87" s="683"/>
      <c r="FQ87" s="683"/>
      <c r="FR87" s="683"/>
      <c r="FS87" s="683"/>
      <c r="FT87" s="683"/>
      <c r="FU87" s="683"/>
      <c r="FV87" s="683"/>
      <c r="FW87" s="683"/>
      <c r="FX87" s="683"/>
      <c r="FY87" s="683"/>
      <c r="FZ87" s="683"/>
      <c r="GA87" s="683"/>
      <c r="GB87" s="683"/>
      <c r="GC87" s="683"/>
      <c r="GD87" s="683"/>
      <c r="GE87" s="683"/>
      <c r="GF87" s="683"/>
      <c r="GG87" s="683"/>
      <c r="GH87" s="683"/>
      <c r="GI87" s="683"/>
      <c r="GJ87" s="683"/>
      <c r="GK87" s="683"/>
      <c r="GL87" s="683"/>
      <c r="GM87" s="683"/>
      <c r="GN87" s="683"/>
      <c r="GO87" s="683"/>
      <c r="GP87" s="683"/>
      <c r="GQ87" s="683"/>
      <c r="GR87" s="683"/>
      <c r="GS87" s="683"/>
      <c r="GT87" s="683"/>
      <c r="GU87" s="683"/>
      <c r="GV87" s="683"/>
      <c r="GW87" s="683"/>
      <c r="GX87" s="683"/>
      <c r="GY87" s="683"/>
      <c r="GZ87" s="683"/>
      <c r="HA87" s="683"/>
      <c r="HB87" s="683"/>
      <c r="HC87" s="683"/>
      <c r="HD87" s="683"/>
      <c r="HE87" s="683"/>
      <c r="HF87" s="683"/>
      <c r="HG87" s="683"/>
      <c r="HH87" s="683"/>
      <c r="HI87" s="683"/>
      <c r="HJ87" s="683"/>
      <c r="HK87" s="683"/>
      <c r="HL87" s="683"/>
      <c r="HM87" s="683"/>
      <c r="HN87" s="683"/>
      <c r="HO87" s="683"/>
      <c r="HP87" s="683"/>
      <c r="HQ87" s="683"/>
      <c r="HR87" s="683"/>
      <c r="HS87" s="683"/>
      <c r="HT87" s="683"/>
      <c r="HU87" s="683"/>
      <c r="HV87" s="683"/>
      <c r="HW87" s="683"/>
      <c r="HX87" s="683"/>
      <c r="HY87" s="683"/>
      <c r="HZ87" s="683"/>
      <c r="IA87" s="683"/>
      <c r="IB87" s="683"/>
      <c r="IC87" s="683"/>
      <c r="ID87" s="683"/>
      <c r="IE87" s="683"/>
      <c r="IF87" s="683"/>
      <c r="IG87" s="683"/>
      <c r="IH87" s="683"/>
      <c r="II87" s="683"/>
      <c r="IJ87" s="683"/>
      <c r="IK87" s="683"/>
      <c r="IL87" s="683"/>
    </row>
    <row r="88" spans="1:246" s="1" customFormat="1" ht="12.75" customHeight="1" hidden="1">
      <c r="A88" s="22" t="s">
        <v>618</v>
      </c>
      <c r="F88" s="687" t="s">
        <v>223</v>
      </c>
      <c r="G88" s="687"/>
      <c r="H88" s="22"/>
      <c r="I88" s="22"/>
      <c r="S88" s="683"/>
      <c r="T88" s="683"/>
      <c r="U88" s="683"/>
      <c r="V88" s="683"/>
      <c r="W88" s="683"/>
      <c r="X88" s="683"/>
      <c r="Y88" s="683"/>
      <c r="Z88" s="683"/>
      <c r="AA88" s="683"/>
      <c r="AB88" s="683"/>
      <c r="AC88" s="683"/>
      <c r="AD88" s="683"/>
      <c r="AE88" s="683"/>
      <c r="AF88" s="683"/>
      <c r="AG88" s="683"/>
      <c r="AH88" s="683"/>
      <c r="AI88" s="683"/>
      <c r="AJ88" s="683"/>
      <c r="AK88" s="683"/>
      <c r="AL88" s="683"/>
      <c r="AM88" s="683"/>
      <c r="AN88" s="683"/>
      <c r="AO88" s="683"/>
      <c r="AP88" s="683"/>
      <c r="AQ88" s="683"/>
      <c r="AR88" s="683"/>
      <c r="AS88" s="683"/>
      <c r="AT88" s="683"/>
      <c r="AU88" s="683"/>
      <c r="AV88" s="683"/>
      <c r="AW88" s="683"/>
      <c r="AX88" s="683"/>
      <c r="AY88" s="683"/>
      <c r="AZ88" s="683"/>
      <c r="BA88" s="683"/>
      <c r="BB88" s="683"/>
      <c r="BC88" s="683"/>
      <c r="BD88" s="683"/>
      <c r="BE88" s="683"/>
      <c r="BF88" s="683"/>
      <c r="BG88" s="683"/>
      <c r="BH88" s="683"/>
      <c r="BI88" s="683"/>
      <c r="BJ88" s="683"/>
      <c r="BK88" s="683"/>
      <c r="BL88" s="683"/>
      <c r="BM88" s="683"/>
      <c r="BN88" s="683"/>
      <c r="BO88" s="683"/>
      <c r="BP88" s="683"/>
      <c r="BQ88" s="683"/>
      <c r="BR88" s="683"/>
      <c r="BS88" s="683"/>
      <c r="BT88" s="683"/>
      <c r="BU88" s="683"/>
      <c r="BV88" s="683"/>
      <c r="BW88" s="683"/>
      <c r="BX88" s="683"/>
      <c r="BY88" s="683"/>
      <c r="BZ88" s="683"/>
      <c r="CA88" s="683"/>
      <c r="CB88" s="683"/>
      <c r="CC88" s="683"/>
      <c r="CD88" s="683"/>
      <c r="CE88" s="683"/>
      <c r="CF88" s="683"/>
      <c r="CG88" s="683"/>
      <c r="CH88" s="683"/>
      <c r="CI88" s="683"/>
      <c r="CJ88" s="683"/>
      <c r="CK88" s="683"/>
      <c r="CL88" s="683"/>
      <c r="CM88" s="683"/>
      <c r="CN88" s="683"/>
      <c r="CO88" s="683"/>
      <c r="CP88" s="683"/>
      <c r="CQ88" s="683"/>
      <c r="CR88" s="683"/>
      <c r="CS88" s="683"/>
      <c r="CT88" s="683"/>
      <c r="CU88" s="683"/>
      <c r="CV88" s="683"/>
      <c r="CW88" s="683"/>
      <c r="CX88" s="683"/>
      <c r="CY88" s="683"/>
      <c r="CZ88" s="683"/>
      <c r="DA88" s="683"/>
      <c r="DB88" s="683"/>
      <c r="DC88" s="683"/>
      <c r="DD88" s="683"/>
      <c r="DE88" s="683"/>
      <c r="DF88" s="683"/>
      <c r="DG88" s="683"/>
      <c r="DH88" s="683"/>
      <c r="DI88" s="683"/>
      <c r="DJ88" s="683"/>
      <c r="DK88" s="683"/>
      <c r="DL88" s="683"/>
      <c r="DM88" s="683"/>
      <c r="DN88" s="683"/>
      <c r="DO88" s="683"/>
      <c r="DP88" s="683"/>
      <c r="DQ88" s="683"/>
      <c r="DR88" s="683"/>
      <c r="DS88" s="683"/>
      <c r="DT88" s="683"/>
      <c r="DU88" s="683"/>
      <c r="DV88" s="683"/>
      <c r="DW88" s="683"/>
      <c r="DX88" s="683"/>
      <c r="DY88" s="683"/>
      <c r="DZ88" s="683"/>
      <c r="EA88" s="683"/>
      <c r="EB88" s="683"/>
      <c r="EC88" s="683"/>
      <c r="ED88" s="683"/>
      <c r="EE88" s="683"/>
      <c r="EF88" s="683"/>
      <c r="EG88" s="683"/>
      <c r="EH88" s="683"/>
      <c r="EI88" s="683"/>
      <c r="EJ88" s="683"/>
      <c r="EK88" s="683"/>
      <c r="EL88" s="683"/>
      <c r="EM88" s="683"/>
      <c r="EN88" s="683"/>
      <c r="EO88" s="683"/>
      <c r="EP88" s="683"/>
      <c r="EQ88" s="683"/>
      <c r="ER88" s="683"/>
      <c r="ES88" s="683"/>
      <c r="ET88" s="683"/>
      <c r="EU88" s="683"/>
      <c r="EV88" s="683"/>
      <c r="EW88" s="683"/>
      <c r="EX88" s="683"/>
      <c r="EY88" s="683"/>
      <c r="EZ88" s="683"/>
      <c r="FA88" s="683"/>
      <c r="FB88" s="683"/>
      <c r="FC88" s="683"/>
      <c r="FD88" s="683"/>
      <c r="FE88" s="683"/>
      <c r="FF88" s="683"/>
      <c r="FG88" s="683"/>
      <c r="FH88" s="683"/>
      <c r="FI88" s="683"/>
      <c r="FJ88" s="683"/>
      <c r="FK88" s="683"/>
      <c r="FL88" s="683"/>
      <c r="FM88" s="683"/>
      <c r="FN88" s="683"/>
      <c r="FO88" s="683"/>
      <c r="FP88" s="683"/>
      <c r="FQ88" s="683"/>
      <c r="FR88" s="683"/>
      <c r="FS88" s="683"/>
      <c r="FT88" s="683"/>
      <c r="FU88" s="683"/>
      <c r="FV88" s="683"/>
      <c r="FW88" s="683"/>
      <c r="FX88" s="683"/>
      <c r="FY88" s="683"/>
      <c r="FZ88" s="683"/>
      <c r="GA88" s="683"/>
      <c r="GB88" s="683"/>
      <c r="GC88" s="683"/>
      <c r="GD88" s="683"/>
      <c r="GE88" s="683"/>
      <c r="GF88" s="683"/>
      <c r="GG88" s="683"/>
      <c r="GH88" s="683"/>
      <c r="GI88" s="683"/>
      <c r="GJ88" s="683"/>
      <c r="GK88" s="683"/>
      <c r="GL88" s="683"/>
      <c r="GM88" s="683"/>
      <c r="GN88" s="683"/>
      <c r="GO88" s="683"/>
      <c r="GP88" s="683"/>
      <c r="GQ88" s="683"/>
      <c r="GR88" s="683"/>
      <c r="GS88" s="683"/>
      <c r="GT88" s="683"/>
      <c r="GU88" s="683"/>
      <c r="GV88" s="683"/>
      <c r="GW88" s="683"/>
      <c r="GX88" s="683"/>
      <c r="GY88" s="683"/>
      <c r="GZ88" s="683"/>
      <c r="HA88" s="683"/>
      <c r="HB88" s="683"/>
      <c r="HC88" s="683"/>
      <c r="HD88" s="683"/>
      <c r="HE88" s="683"/>
      <c r="HF88" s="683"/>
      <c r="HG88" s="683"/>
      <c r="HH88" s="683"/>
      <c r="HI88" s="683"/>
      <c r="HJ88" s="683"/>
      <c r="HK88" s="683"/>
      <c r="HL88" s="683"/>
      <c r="HM88" s="683"/>
      <c r="HN88" s="683"/>
      <c r="HO88" s="683"/>
      <c r="HP88" s="683"/>
      <c r="HQ88" s="683"/>
      <c r="HR88" s="683"/>
      <c r="HS88" s="683"/>
      <c r="HT88" s="683"/>
      <c r="HU88" s="683"/>
      <c r="HV88" s="683"/>
      <c r="HW88" s="683"/>
      <c r="HX88" s="683"/>
      <c r="HY88" s="683"/>
      <c r="HZ88" s="683"/>
      <c r="IA88" s="683"/>
      <c r="IB88" s="683"/>
      <c r="IC88" s="683"/>
      <c r="ID88" s="683"/>
      <c r="IE88" s="683"/>
      <c r="IF88" s="683"/>
      <c r="IG88" s="683"/>
      <c r="IH88" s="683"/>
      <c r="II88" s="683"/>
      <c r="IJ88" s="683"/>
      <c r="IK88" s="683"/>
      <c r="IL88" s="683"/>
    </row>
    <row r="89" spans="1:246" s="1" customFormat="1" ht="12.75" customHeight="1" hidden="1">
      <c r="A89" s="22" t="s">
        <v>468</v>
      </c>
      <c r="F89" s="687" t="s">
        <v>11</v>
      </c>
      <c r="G89" s="687"/>
      <c r="H89" s="22"/>
      <c r="I89" s="22"/>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3"/>
      <c r="BA89" s="683"/>
      <c r="BB89" s="683"/>
      <c r="BC89" s="683"/>
      <c r="BD89" s="683"/>
      <c r="BE89" s="683"/>
      <c r="BF89" s="683"/>
      <c r="BG89" s="683"/>
      <c r="BH89" s="683"/>
      <c r="BI89" s="683"/>
      <c r="BJ89" s="683"/>
      <c r="BK89" s="683"/>
      <c r="BL89" s="683"/>
      <c r="BM89" s="683"/>
      <c r="BN89" s="683"/>
      <c r="BO89" s="683"/>
      <c r="BP89" s="683"/>
      <c r="BQ89" s="683"/>
      <c r="BR89" s="683"/>
      <c r="BS89" s="683"/>
      <c r="BT89" s="683"/>
      <c r="BU89" s="683"/>
      <c r="BV89" s="683"/>
      <c r="BW89" s="683"/>
      <c r="BX89" s="683"/>
      <c r="BY89" s="683"/>
      <c r="BZ89" s="683"/>
      <c r="CA89" s="683"/>
      <c r="CB89" s="683"/>
      <c r="CC89" s="683"/>
      <c r="CD89" s="683"/>
      <c r="CE89" s="683"/>
      <c r="CF89" s="683"/>
      <c r="CG89" s="683"/>
      <c r="CH89" s="683"/>
      <c r="CI89" s="683"/>
      <c r="CJ89" s="683"/>
      <c r="CK89" s="683"/>
      <c r="CL89" s="683"/>
      <c r="CM89" s="683"/>
      <c r="CN89" s="683"/>
      <c r="CO89" s="683"/>
      <c r="CP89" s="683"/>
      <c r="CQ89" s="683"/>
      <c r="CR89" s="683"/>
      <c r="CS89" s="683"/>
      <c r="CT89" s="683"/>
      <c r="CU89" s="683"/>
      <c r="CV89" s="683"/>
      <c r="CW89" s="683"/>
      <c r="CX89" s="683"/>
      <c r="CY89" s="683"/>
      <c r="CZ89" s="683"/>
      <c r="DA89" s="683"/>
      <c r="DB89" s="683"/>
      <c r="DC89" s="683"/>
      <c r="DD89" s="683"/>
      <c r="DE89" s="683"/>
      <c r="DF89" s="683"/>
      <c r="DG89" s="683"/>
      <c r="DH89" s="683"/>
      <c r="DI89" s="683"/>
      <c r="DJ89" s="683"/>
      <c r="DK89" s="683"/>
      <c r="DL89" s="683"/>
      <c r="DM89" s="683"/>
      <c r="DN89" s="683"/>
      <c r="DO89" s="683"/>
      <c r="DP89" s="683"/>
      <c r="DQ89" s="683"/>
      <c r="DR89" s="683"/>
      <c r="DS89" s="683"/>
      <c r="DT89" s="683"/>
      <c r="DU89" s="683"/>
      <c r="DV89" s="683"/>
      <c r="DW89" s="683"/>
      <c r="DX89" s="683"/>
      <c r="DY89" s="683"/>
      <c r="DZ89" s="683"/>
      <c r="EA89" s="683"/>
      <c r="EB89" s="683"/>
      <c r="EC89" s="683"/>
      <c r="ED89" s="683"/>
      <c r="EE89" s="683"/>
      <c r="EF89" s="683"/>
      <c r="EG89" s="683"/>
      <c r="EH89" s="683"/>
      <c r="EI89" s="683"/>
      <c r="EJ89" s="683"/>
      <c r="EK89" s="683"/>
      <c r="EL89" s="683"/>
      <c r="EM89" s="683"/>
      <c r="EN89" s="683"/>
      <c r="EO89" s="683"/>
      <c r="EP89" s="683"/>
      <c r="EQ89" s="683"/>
      <c r="ER89" s="683"/>
      <c r="ES89" s="683"/>
      <c r="ET89" s="683"/>
      <c r="EU89" s="683"/>
      <c r="EV89" s="683"/>
      <c r="EW89" s="683"/>
      <c r="EX89" s="683"/>
      <c r="EY89" s="683"/>
      <c r="EZ89" s="683"/>
      <c r="FA89" s="683"/>
      <c r="FB89" s="683"/>
      <c r="FC89" s="683"/>
      <c r="FD89" s="683"/>
      <c r="FE89" s="683"/>
      <c r="FF89" s="683"/>
      <c r="FG89" s="683"/>
      <c r="FH89" s="683"/>
      <c r="FI89" s="683"/>
      <c r="FJ89" s="683"/>
      <c r="FK89" s="683"/>
      <c r="FL89" s="683"/>
      <c r="FM89" s="683"/>
      <c r="FN89" s="683"/>
      <c r="FO89" s="683"/>
      <c r="FP89" s="683"/>
      <c r="FQ89" s="683"/>
      <c r="FR89" s="683"/>
      <c r="FS89" s="683"/>
      <c r="FT89" s="683"/>
      <c r="FU89" s="683"/>
      <c r="FV89" s="683"/>
      <c r="FW89" s="683"/>
      <c r="FX89" s="683"/>
      <c r="FY89" s="683"/>
      <c r="FZ89" s="683"/>
      <c r="GA89" s="683"/>
      <c r="GB89" s="683"/>
      <c r="GC89" s="683"/>
      <c r="GD89" s="683"/>
      <c r="GE89" s="683"/>
      <c r="GF89" s="683"/>
      <c r="GG89" s="683"/>
      <c r="GH89" s="683"/>
      <c r="GI89" s="683"/>
      <c r="GJ89" s="683"/>
      <c r="GK89" s="683"/>
      <c r="GL89" s="683"/>
      <c r="GM89" s="683"/>
      <c r="GN89" s="683"/>
      <c r="GO89" s="683"/>
      <c r="GP89" s="683"/>
      <c r="GQ89" s="683"/>
      <c r="GR89" s="683"/>
      <c r="GS89" s="683"/>
      <c r="GT89" s="683"/>
      <c r="GU89" s="683"/>
      <c r="GV89" s="683"/>
      <c r="GW89" s="683"/>
      <c r="GX89" s="683"/>
      <c r="GY89" s="683"/>
      <c r="GZ89" s="683"/>
      <c r="HA89" s="683"/>
      <c r="HB89" s="683"/>
      <c r="HC89" s="683"/>
      <c r="HD89" s="683"/>
      <c r="HE89" s="683"/>
      <c r="HF89" s="683"/>
      <c r="HG89" s="683"/>
      <c r="HH89" s="683"/>
      <c r="HI89" s="683"/>
      <c r="HJ89" s="683"/>
      <c r="HK89" s="683"/>
      <c r="HL89" s="683"/>
      <c r="HM89" s="683"/>
      <c r="HN89" s="683"/>
      <c r="HO89" s="683"/>
      <c r="HP89" s="683"/>
      <c r="HQ89" s="683"/>
      <c r="HR89" s="683"/>
      <c r="HS89" s="683"/>
      <c r="HT89" s="683"/>
      <c r="HU89" s="683"/>
      <c r="HV89" s="683"/>
      <c r="HW89" s="683"/>
      <c r="HX89" s="683"/>
      <c r="HY89" s="683"/>
      <c r="HZ89" s="683"/>
      <c r="IA89" s="683"/>
      <c r="IB89" s="683"/>
      <c r="IC89" s="683"/>
      <c r="ID89" s="683"/>
      <c r="IE89" s="683"/>
      <c r="IF89" s="683"/>
      <c r="IG89" s="683"/>
      <c r="IH89" s="683"/>
      <c r="II89" s="683"/>
      <c r="IJ89" s="683"/>
      <c r="IK89" s="683"/>
      <c r="IL89" s="683"/>
    </row>
    <row r="90" spans="1:246" s="1" customFormat="1" ht="12.75" customHeight="1" hidden="1">
      <c r="A90" s="22" t="s">
        <v>619</v>
      </c>
      <c r="F90" s="687" t="s">
        <v>496</v>
      </c>
      <c r="G90" s="687"/>
      <c r="H90" s="22"/>
      <c r="I90" s="22"/>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3"/>
      <c r="BA90" s="683"/>
      <c r="BB90" s="683"/>
      <c r="BC90" s="683"/>
      <c r="BD90" s="683"/>
      <c r="BE90" s="683"/>
      <c r="BF90" s="683"/>
      <c r="BG90" s="683"/>
      <c r="BH90" s="683"/>
      <c r="BI90" s="683"/>
      <c r="BJ90" s="683"/>
      <c r="BK90" s="683"/>
      <c r="BL90" s="683"/>
      <c r="BM90" s="683"/>
      <c r="BN90" s="683"/>
      <c r="BO90" s="683"/>
      <c r="BP90" s="683"/>
      <c r="BQ90" s="683"/>
      <c r="BR90" s="683"/>
      <c r="BS90" s="683"/>
      <c r="BT90" s="683"/>
      <c r="BU90" s="683"/>
      <c r="BV90" s="683"/>
      <c r="BW90" s="683"/>
      <c r="BX90" s="683"/>
      <c r="BY90" s="683"/>
      <c r="BZ90" s="683"/>
      <c r="CA90" s="683"/>
      <c r="CB90" s="683"/>
      <c r="CC90" s="683"/>
      <c r="CD90" s="683"/>
      <c r="CE90" s="683"/>
      <c r="CF90" s="683"/>
      <c r="CG90" s="683"/>
      <c r="CH90" s="683"/>
      <c r="CI90" s="683"/>
      <c r="CJ90" s="683"/>
      <c r="CK90" s="683"/>
      <c r="CL90" s="683"/>
      <c r="CM90" s="683"/>
      <c r="CN90" s="683"/>
      <c r="CO90" s="683"/>
      <c r="CP90" s="683"/>
      <c r="CQ90" s="683"/>
      <c r="CR90" s="683"/>
      <c r="CS90" s="683"/>
      <c r="CT90" s="683"/>
      <c r="CU90" s="683"/>
      <c r="CV90" s="683"/>
      <c r="CW90" s="683"/>
      <c r="CX90" s="683"/>
      <c r="CY90" s="683"/>
      <c r="CZ90" s="683"/>
      <c r="DA90" s="683"/>
      <c r="DB90" s="683"/>
      <c r="DC90" s="683"/>
      <c r="DD90" s="683"/>
      <c r="DE90" s="683"/>
      <c r="DF90" s="683"/>
      <c r="DG90" s="683"/>
      <c r="DH90" s="683"/>
      <c r="DI90" s="683"/>
      <c r="DJ90" s="683"/>
      <c r="DK90" s="683"/>
      <c r="DL90" s="683"/>
      <c r="DM90" s="683"/>
      <c r="DN90" s="683"/>
      <c r="DO90" s="683"/>
      <c r="DP90" s="683"/>
      <c r="DQ90" s="683"/>
      <c r="DR90" s="683"/>
      <c r="DS90" s="683"/>
      <c r="DT90" s="683"/>
      <c r="DU90" s="683"/>
      <c r="DV90" s="683"/>
      <c r="DW90" s="683"/>
      <c r="DX90" s="683"/>
      <c r="DY90" s="683"/>
      <c r="DZ90" s="683"/>
      <c r="EA90" s="683"/>
      <c r="EB90" s="683"/>
      <c r="EC90" s="683"/>
      <c r="ED90" s="683"/>
      <c r="EE90" s="683"/>
      <c r="EF90" s="683"/>
      <c r="EG90" s="683"/>
      <c r="EH90" s="683"/>
      <c r="EI90" s="683"/>
      <c r="EJ90" s="683"/>
      <c r="EK90" s="683"/>
      <c r="EL90" s="683"/>
      <c r="EM90" s="683"/>
      <c r="EN90" s="683"/>
      <c r="EO90" s="683"/>
      <c r="EP90" s="683"/>
      <c r="EQ90" s="683"/>
      <c r="ER90" s="683"/>
      <c r="ES90" s="683"/>
      <c r="ET90" s="683"/>
      <c r="EU90" s="683"/>
      <c r="EV90" s="683"/>
      <c r="EW90" s="683"/>
      <c r="EX90" s="683"/>
      <c r="EY90" s="683"/>
      <c r="EZ90" s="683"/>
      <c r="FA90" s="683"/>
      <c r="FB90" s="683"/>
      <c r="FC90" s="683"/>
      <c r="FD90" s="683"/>
      <c r="FE90" s="683"/>
      <c r="FF90" s="683"/>
      <c r="FG90" s="683"/>
      <c r="FH90" s="683"/>
      <c r="FI90" s="683"/>
      <c r="FJ90" s="683"/>
      <c r="FK90" s="683"/>
      <c r="FL90" s="683"/>
      <c r="FM90" s="683"/>
      <c r="FN90" s="683"/>
      <c r="FO90" s="683"/>
      <c r="FP90" s="683"/>
      <c r="FQ90" s="683"/>
      <c r="FR90" s="683"/>
      <c r="FS90" s="683"/>
      <c r="FT90" s="683"/>
      <c r="FU90" s="683"/>
      <c r="FV90" s="683"/>
      <c r="FW90" s="683"/>
      <c r="FX90" s="683"/>
      <c r="FY90" s="683"/>
      <c r="FZ90" s="683"/>
      <c r="GA90" s="683"/>
      <c r="GB90" s="683"/>
      <c r="GC90" s="683"/>
      <c r="GD90" s="683"/>
      <c r="GE90" s="683"/>
      <c r="GF90" s="683"/>
      <c r="GG90" s="683"/>
      <c r="GH90" s="683"/>
      <c r="GI90" s="683"/>
      <c r="GJ90" s="683"/>
      <c r="GK90" s="683"/>
      <c r="GL90" s="683"/>
      <c r="GM90" s="683"/>
      <c r="GN90" s="683"/>
      <c r="GO90" s="683"/>
      <c r="GP90" s="683"/>
      <c r="GQ90" s="683"/>
      <c r="GR90" s="683"/>
      <c r="GS90" s="683"/>
      <c r="GT90" s="683"/>
      <c r="GU90" s="683"/>
      <c r="GV90" s="683"/>
      <c r="GW90" s="683"/>
      <c r="GX90" s="683"/>
      <c r="GY90" s="683"/>
      <c r="GZ90" s="683"/>
      <c r="HA90" s="683"/>
      <c r="HB90" s="683"/>
      <c r="HC90" s="683"/>
      <c r="HD90" s="683"/>
      <c r="HE90" s="683"/>
      <c r="HF90" s="683"/>
      <c r="HG90" s="683"/>
      <c r="HH90" s="683"/>
      <c r="HI90" s="683"/>
      <c r="HJ90" s="683"/>
      <c r="HK90" s="683"/>
      <c r="HL90" s="683"/>
      <c r="HM90" s="683"/>
      <c r="HN90" s="683"/>
      <c r="HO90" s="683"/>
      <c r="HP90" s="683"/>
      <c r="HQ90" s="683"/>
      <c r="HR90" s="683"/>
      <c r="HS90" s="683"/>
      <c r="HT90" s="683"/>
      <c r="HU90" s="683"/>
      <c r="HV90" s="683"/>
      <c r="HW90" s="683"/>
      <c r="HX90" s="683"/>
      <c r="HY90" s="683"/>
      <c r="HZ90" s="683"/>
      <c r="IA90" s="683"/>
      <c r="IB90" s="683"/>
      <c r="IC90" s="683"/>
      <c r="ID90" s="683"/>
      <c r="IE90" s="683"/>
      <c r="IF90" s="683"/>
      <c r="IG90" s="683"/>
      <c r="IH90" s="683"/>
      <c r="II90" s="683"/>
      <c r="IJ90" s="683"/>
      <c r="IK90" s="683"/>
      <c r="IL90" s="683"/>
    </row>
    <row r="91" spans="1:246" s="1" customFormat="1" ht="12.75" customHeight="1" hidden="1">
      <c r="A91" s="22" t="s">
        <v>487</v>
      </c>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3"/>
      <c r="BA91" s="683"/>
      <c r="BB91" s="683"/>
      <c r="BC91" s="683"/>
      <c r="BD91" s="683"/>
      <c r="BE91" s="683"/>
      <c r="BF91" s="683"/>
      <c r="BG91" s="683"/>
      <c r="BH91" s="683"/>
      <c r="BI91" s="683"/>
      <c r="BJ91" s="683"/>
      <c r="BK91" s="683"/>
      <c r="BL91" s="683"/>
      <c r="BM91" s="683"/>
      <c r="BN91" s="683"/>
      <c r="BO91" s="683"/>
      <c r="BP91" s="683"/>
      <c r="BQ91" s="683"/>
      <c r="BR91" s="683"/>
      <c r="BS91" s="683"/>
      <c r="BT91" s="683"/>
      <c r="BU91" s="683"/>
      <c r="BV91" s="683"/>
      <c r="BW91" s="683"/>
      <c r="BX91" s="683"/>
      <c r="BY91" s="683"/>
      <c r="BZ91" s="683"/>
      <c r="CA91" s="683"/>
      <c r="CB91" s="683"/>
      <c r="CC91" s="683"/>
      <c r="CD91" s="683"/>
      <c r="CE91" s="683"/>
      <c r="CF91" s="683"/>
      <c r="CG91" s="683"/>
      <c r="CH91" s="683"/>
      <c r="CI91" s="683"/>
      <c r="CJ91" s="683"/>
      <c r="CK91" s="683"/>
      <c r="CL91" s="683"/>
      <c r="CM91" s="683"/>
      <c r="CN91" s="683"/>
      <c r="CO91" s="683"/>
      <c r="CP91" s="683"/>
      <c r="CQ91" s="683"/>
      <c r="CR91" s="683"/>
      <c r="CS91" s="683"/>
      <c r="CT91" s="683"/>
      <c r="CU91" s="683"/>
      <c r="CV91" s="683"/>
      <c r="CW91" s="683"/>
      <c r="CX91" s="683"/>
      <c r="CY91" s="683"/>
      <c r="CZ91" s="683"/>
      <c r="DA91" s="683"/>
      <c r="DB91" s="683"/>
      <c r="DC91" s="683"/>
      <c r="DD91" s="683"/>
      <c r="DE91" s="683"/>
      <c r="DF91" s="683"/>
      <c r="DG91" s="683"/>
      <c r="DH91" s="683"/>
      <c r="DI91" s="683"/>
      <c r="DJ91" s="683"/>
      <c r="DK91" s="683"/>
      <c r="DL91" s="683"/>
      <c r="DM91" s="683"/>
      <c r="DN91" s="683"/>
      <c r="DO91" s="683"/>
      <c r="DP91" s="683"/>
      <c r="DQ91" s="683"/>
      <c r="DR91" s="683"/>
      <c r="DS91" s="683"/>
      <c r="DT91" s="683"/>
      <c r="DU91" s="683"/>
      <c r="DV91" s="683"/>
      <c r="DW91" s="683"/>
      <c r="DX91" s="683"/>
      <c r="DY91" s="683"/>
      <c r="DZ91" s="683"/>
      <c r="EA91" s="683"/>
      <c r="EB91" s="683"/>
      <c r="EC91" s="683"/>
      <c r="ED91" s="683"/>
      <c r="EE91" s="683"/>
      <c r="EF91" s="683"/>
      <c r="EG91" s="683"/>
      <c r="EH91" s="683"/>
      <c r="EI91" s="683"/>
      <c r="EJ91" s="683"/>
      <c r="EK91" s="683"/>
      <c r="EL91" s="683"/>
      <c r="EM91" s="683"/>
      <c r="EN91" s="683"/>
      <c r="EO91" s="683"/>
      <c r="EP91" s="683"/>
      <c r="EQ91" s="683"/>
      <c r="ER91" s="683"/>
      <c r="ES91" s="683"/>
      <c r="ET91" s="683"/>
      <c r="EU91" s="683"/>
      <c r="EV91" s="683"/>
      <c r="EW91" s="683"/>
      <c r="EX91" s="683"/>
      <c r="EY91" s="683"/>
      <c r="EZ91" s="683"/>
      <c r="FA91" s="683"/>
      <c r="FB91" s="683"/>
      <c r="FC91" s="683"/>
      <c r="FD91" s="683"/>
      <c r="FE91" s="683"/>
      <c r="FF91" s="683"/>
      <c r="FG91" s="683"/>
      <c r="FH91" s="683"/>
      <c r="FI91" s="683"/>
      <c r="FJ91" s="683"/>
      <c r="FK91" s="683"/>
      <c r="FL91" s="683"/>
      <c r="FM91" s="683"/>
      <c r="FN91" s="683"/>
      <c r="FO91" s="683"/>
      <c r="FP91" s="683"/>
      <c r="FQ91" s="683"/>
      <c r="FR91" s="683"/>
      <c r="FS91" s="683"/>
      <c r="FT91" s="683"/>
      <c r="FU91" s="683"/>
      <c r="FV91" s="683"/>
      <c r="FW91" s="683"/>
      <c r="FX91" s="683"/>
      <c r="FY91" s="683"/>
      <c r="FZ91" s="683"/>
      <c r="GA91" s="683"/>
      <c r="GB91" s="683"/>
      <c r="GC91" s="683"/>
      <c r="GD91" s="683"/>
      <c r="GE91" s="683"/>
      <c r="GF91" s="683"/>
      <c r="GG91" s="683"/>
      <c r="GH91" s="683"/>
      <c r="GI91" s="683"/>
      <c r="GJ91" s="683"/>
      <c r="GK91" s="683"/>
      <c r="GL91" s="683"/>
      <c r="GM91" s="683"/>
      <c r="GN91" s="683"/>
      <c r="GO91" s="683"/>
      <c r="GP91" s="683"/>
      <c r="GQ91" s="683"/>
      <c r="GR91" s="683"/>
      <c r="GS91" s="683"/>
      <c r="GT91" s="683"/>
      <c r="GU91" s="683"/>
      <c r="GV91" s="683"/>
      <c r="GW91" s="683"/>
      <c r="GX91" s="683"/>
      <c r="GY91" s="683"/>
      <c r="GZ91" s="683"/>
      <c r="HA91" s="683"/>
      <c r="HB91" s="683"/>
      <c r="HC91" s="683"/>
      <c r="HD91" s="683"/>
      <c r="HE91" s="683"/>
      <c r="HF91" s="683"/>
      <c r="HG91" s="683"/>
      <c r="HH91" s="683"/>
      <c r="HI91" s="683"/>
      <c r="HJ91" s="683"/>
      <c r="HK91" s="683"/>
      <c r="HL91" s="683"/>
      <c r="HM91" s="683"/>
      <c r="HN91" s="683"/>
      <c r="HO91" s="683"/>
      <c r="HP91" s="683"/>
      <c r="HQ91" s="683"/>
      <c r="HR91" s="683"/>
      <c r="HS91" s="683"/>
      <c r="HT91" s="683"/>
      <c r="HU91" s="683"/>
      <c r="HV91" s="683"/>
      <c r="HW91" s="683"/>
      <c r="HX91" s="683"/>
      <c r="HY91" s="683"/>
      <c r="HZ91" s="683"/>
      <c r="IA91" s="683"/>
      <c r="IB91" s="683"/>
      <c r="IC91" s="683"/>
      <c r="ID91" s="683"/>
      <c r="IE91" s="683"/>
      <c r="IF91" s="683"/>
      <c r="IG91" s="683"/>
      <c r="IH91" s="683"/>
      <c r="II91" s="683"/>
      <c r="IJ91" s="683"/>
      <c r="IK91" s="683"/>
      <c r="IL91" s="683"/>
    </row>
    <row r="92" spans="1:246" s="1" customFormat="1" ht="12.75" customHeight="1" hidden="1">
      <c r="A92" s="22" t="s">
        <v>497</v>
      </c>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3"/>
      <c r="BA92" s="683"/>
      <c r="BB92" s="683"/>
      <c r="BC92" s="683"/>
      <c r="BD92" s="683"/>
      <c r="BE92" s="683"/>
      <c r="BF92" s="683"/>
      <c r="BG92" s="683"/>
      <c r="BH92" s="683"/>
      <c r="BI92" s="683"/>
      <c r="BJ92" s="683"/>
      <c r="BK92" s="683"/>
      <c r="BL92" s="683"/>
      <c r="BM92" s="683"/>
      <c r="BN92" s="683"/>
      <c r="BO92" s="683"/>
      <c r="BP92" s="683"/>
      <c r="BQ92" s="683"/>
      <c r="BR92" s="683"/>
      <c r="BS92" s="683"/>
      <c r="BT92" s="683"/>
      <c r="BU92" s="683"/>
      <c r="BV92" s="683"/>
      <c r="BW92" s="683"/>
      <c r="BX92" s="683"/>
      <c r="BY92" s="683"/>
      <c r="BZ92" s="683"/>
      <c r="CA92" s="683"/>
      <c r="CB92" s="683"/>
      <c r="CC92" s="683"/>
      <c r="CD92" s="683"/>
      <c r="CE92" s="683"/>
      <c r="CF92" s="683"/>
      <c r="CG92" s="683"/>
      <c r="CH92" s="683"/>
      <c r="CI92" s="683"/>
      <c r="CJ92" s="683"/>
      <c r="CK92" s="683"/>
      <c r="CL92" s="683"/>
      <c r="CM92" s="683"/>
      <c r="CN92" s="683"/>
      <c r="CO92" s="683"/>
      <c r="CP92" s="683"/>
      <c r="CQ92" s="683"/>
      <c r="CR92" s="683"/>
      <c r="CS92" s="683"/>
      <c r="CT92" s="683"/>
      <c r="CU92" s="683"/>
      <c r="CV92" s="683"/>
      <c r="CW92" s="683"/>
      <c r="CX92" s="683"/>
      <c r="CY92" s="683"/>
      <c r="CZ92" s="683"/>
      <c r="DA92" s="683"/>
      <c r="DB92" s="683"/>
      <c r="DC92" s="683"/>
      <c r="DD92" s="683"/>
      <c r="DE92" s="683"/>
      <c r="DF92" s="683"/>
      <c r="DG92" s="683"/>
      <c r="DH92" s="683"/>
      <c r="DI92" s="683"/>
      <c r="DJ92" s="683"/>
      <c r="DK92" s="683"/>
      <c r="DL92" s="683"/>
      <c r="DM92" s="683"/>
      <c r="DN92" s="683"/>
      <c r="DO92" s="683"/>
      <c r="DP92" s="683"/>
      <c r="DQ92" s="683"/>
      <c r="DR92" s="683"/>
      <c r="DS92" s="683"/>
      <c r="DT92" s="683"/>
      <c r="DU92" s="683"/>
      <c r="DV92" s="683"/>
      <c r="DW92" s="683"/>
      <c r="DX92" s="683"/>
      <c r="DY92" s="683"/>
      <c r="DZ92" s="683"/>
      <c r="EA92" s="683"/>
      <c r="EB92" s="683"/>
      <c r="EC92" s="683"/>
      <c r="ED92" s="683"/>
      <c r="EE92" s="683"/>
      <c r="EF92" s="683"/>
      <c r="EG92" s="683"/>
      <c r="EH92" s="683"/>
      <c r="EI92" s="683"/>
      <c r="EJ92" s="683"/>
      <c r="EK92" s="683"/>
      <c r="EL92" s="683"/>
      <c r="EM92" s="683"/>
      <c r="EN92" s="683"/>
      <c r="EO92" s="683"/>
      <c r="EP92" s="683"/>
      <c r="EQ92" s="683"/>
      <c r="ER92" s="683"/>
      <c r="ES92" s="683"/>
      <c r="ET92" s="683"/>
      <c r="EU92" s="683"/>
      <c r="EV92" s="683"/>
      <c r="EW92" s="683"/>
      <c r="EX92" s="683"/>
      <c r="EY92" s="683"/>
      <c r="EZ92" s="683"/>
      <c r="FA92" s="683"/>
      <c r="FB92" s="683"/>
      <c r="FC92" s="683"/>
      <c r="FD92" s="683"/>
      <c r="FE92" s="683"/>
      <c r="FF92" s="683"/>
      <c r="FG92" s="683"/>
      <c r="FH92" s="683"/>
      <c r="FI92" s="683"/>
      <c r="FJ92" s="683"/>
      <c r="FK92" s="683"/>
      <c r="FL92" s="683"/>
      <c r="FM92" s="683"/>
      <c r="FN92" s="683"/>
      <c r="FO92" s="683"/>
      <c r="FP92" s="683"/>
      <c r="FQ92" s="683"/>
      <c r="FR92" s="683"/>
      <c r="FS92" s="683"/>
      <c r="FT92" s="683"/>
      <c r="FU92" s="683"/>
      <c r="FV92" s="683"/>
      <c r="FW92" s="683"/>
      <c r="FX92" s="683"/>
      <c r="FY92" s="683"/>
      <c r="FZ92" s="683"/>
      <c r="GA92" s="683"/>
      <c r="GB92" s="683"/>
      <c r="GC92" s="683"/>
      <c r="GD92" s="683"/>
      <c r="GE92" s="683"/>
      <c r="GF92" s="683"/>
      <c r="GG92" s="683"/>
      <c r="GH92" s="683"/>
      <c r="GI92" s="683"/>
      <c r="GJ92" s="683"/>
      <c r="GK92" s="683"/>
      <c r="GL92" s="683"/>
      <c r="GM92" s="683"/>
      <c r="GN92" s="683"/>
      <c r="GO92" s="683"/>
      <c r="GP92" s="683"/>
      <c r="GQ92" s="683"/>
      <c r="GR92" s="683"/>
      <c r="GS92" s="683"/>
      <c r="GT92" s="683"/>
      <c r="GU92" s="683"/>
      <c r="GV92" s="683"/>
      <c r="GW92" s="683"/>
      <c r="GX92" s="683"/>
      <c r="GY92" s="683"/>
      <c r="GZ92" s="683"/>
      <c r="HA92" s="683"/>
      <c r="HB92" s="683"/>
      <c r="HC92" s="683"/>
      <c r="HD92" s="683"/>
      <c r="HE92" s="683"/>
      <c r="HF92" s="683"/>
      <c r="HG92" s="683"/>
      <c r="HH92" s="683"/>
      <c r="HI92" s="683"/>
      <c r="HJ92" s="683"/>
      <c r="HK92" s="683"/>
      <c r="HL92" s="683"/>
      <c r="HM92" s="683"/>
      <c r="HN92" s="683"/>
      <c r="HO92" s="683"/>
      <c r="HP92" s="683"/>
      <c r="HQ92" s="683"/>
      <c r="HR92" s="683"/>
      <c r="HS92" s="683"/>
      <c r="HT92" s="683"/>
      <c r="HU92" s="683"/>
      <c r="HV92" s="683"/>
      <c r="HW92" s="683"/>
      <c r="HX92" s="683"/>
      <c r="HY92" s="683"/>
      <c r="HZ92" s="683"/>
      <c r="IA92" s="683"/>
      <c r="IB92" s="683"/>
      <c r="IC92" s="683"/>
      <c r="ID92" s="683"/>
      <c r="IE92" s="683"/>
      <c r="IF92" s="683"/>
      <c r="IG92" s="683"/>
      <c r="IH92" s="683"/>
      <c r="II92" s="683"/>
      <c r="IJ92" s="683"/>
      <c r="IK92" s="683"/>
      <c r="IL92" s="683"/>
    </row>
    <row r="93" spans="1:246" s="1" customFormat="1" ht="12.75" customHeight="1" hidden="1">
      <c r="A93" s="22" t="s">
        <v>498</v>
      </c>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3"/>
      <c r="BA93" s="683"/>
      <c r="BB93" s="683"/>
      <c r="BC93" s="683"/>
      <c r="BD93" s="683"/>
      <c r="BE93" s="683"/>
      <c r="BF93" s="683"/>
      <c r="BG93" s="683"/>
      <c r="BH93" s="683"/>
      <c r="BI93" s="683"/>
      <c r="BJ93" s="683"/>
      <c r="BK93" s="683"/>
      <c r="BL93" s="683"/>
      <c r="BM93" s="683"/>
      <c r="BN93" s="683"/>
      <c r="BO93" s="683"/>
      <c r="BP93" s="683"/>
      <c r="BQ93" s="683"/>
      <c r="BR93" s="683"/>
      <c r="BS93" s="683"/>
      <c r="BT93" s="683"/>
      <c r="BU93" s="683"/>
      <c r="BV93" s="683"/>
      <c r="BW93" s="683"/>
      <c r="BX93" s="683"/>
      <c r="BY93" s="683"/>
      <c r="BZ93" s="683"/>
      <c r="CA93" s="683"/>
      <c r="CB93" s="683"/>
      <c r="CC93" s="683"/>
      <c r="CD93" s="683"/>
      <c r="CE93" s="683"/>
      <c r="CF93" s="683"/>
      <c r="CG93" s="683"/>
      <c r="CH93" s="683"/>
      <c r="CI93" s="683"/>
      <c r="CJ93" s="683"/>
      <c r="CK93" s="683"/>
      <c r="CL93" s="683"/>
      <c r="CM93" s="683"/>
      <c r="CN93" s="683"/>
      <c r="CO93" s="683"/>
      <c r="CP93" s="683"/>
      <c r="CQ93" s="683"/>
      <c r="CR93" s="683"/>
      <c r="CS93" s="683"/>
      <c r="CT93" s="683"/>
      <c r="CU93" s="683"/>
      <c r="CV93" s="683"/>
      <c r="CW93" s="683"/>
      <c r="CX93" s="683"/>
      <c r="CY93" s="683"/>
      <c r="CZ93" s="683"/>
      <c r="DA93" s="683"/>
      <c r="DB93" s="683"/>
      <c r="DC93" s="683"/>
      <c r="DD93" s="683"/>
      <c r="DE93" s="683"/>
      <c r="DF93" s="683"/>
      <c r="DG93" s="683"/>
      <c r="DH93" s="683"/>
      <c r="DI93" s="683"/>
      <c r="DJ93" s="683"/>
      <c r="DK93" s="683"/>
      <c r="DL93" s="683"/>
      <c r="DM93" s="683"/>
      <c r="DN93" s="683"/>
      <c r="DO93" s="683"/>
      <c r="DP93" s="683"/>
      <c r="DQ93" s="683"/>
      <c r="DR93" s="683"/>
      <c r="DS93" s="683"/>
      <c r="DT93" s="683"/>
      <c r="DU93" s="683"/>
      <c r="DV93" s="683"/>
      <c r="DW93" s="683"/>
      <c r="DX93" s="683"/>
      <c r="DY93" s="683"/>
      <c r="DZ93" s="683"/>
      <c r="EA93" s="683"/>
      <c r="EB93" s="683"/>
      <c r="EC93" s="683"/>
      <c r="ED93" s="683"/>
      <c r="EE93" s="683"/>
      <c r="EF93" s="683"/>
      <c r="EG93" s="683"/>
      <c r="EH93" s="683"/>
      <c r="EI93" s="683"/>
      <c r="EJ93" s="683"/>
      <c r="EK93" s="683"/>
      <c r="EL93" s="683"/>
      <c r="EM93" s="683"/>
      <c r="EN93" s="683"/>
      <c r="EO93" s="683"/>
      <c r="EP93" s="683"/>
      <c r="EQ93" s="683"/>
      <c r="ER93" s="683"/>
      <c r="ES93" s="683"/>
      <c r="ET93" s="683"/>
      <c r="EU93" s="683"/>
      <c r="EV93" s="683"/>
      <c r="EW93" s="683"/>
      <c r="EX93" s="683"/>
      <c r="EY93" s="683"/>
      <c r="EZ93" s="683"/>
      <c r="FA93" s="683"/>
      <c r="FB93" s="683"/>
      <c r="FC93" s="683"/>
      <c r="FD93" s="683"/>
      <c r="FE93" s="683"/>
      <c r="FF93" s="683"/>
      <c r="FG93" s="683"/>
      <c r="FH93" s="683"/>
      <c r="FI93" s="683"/>
      <c r="FJ93" s="683"/>
      <c r="FK93" s="683"/>
      <c r="FL93" s="683"/>
      <c r="FM93" s="683"/>
      <c r="FN93" s="683"/>
      <c r="FO93" s="683"/>
      <c r="FP93" s="683"/>
      <c r="FQ93" s="683"/>
      <c r="FR93" s="683"/>
      <c r="FS93" s="683"/>
      <c r="FT93" s="683"/>
      <c r="FU93" s="683"/>
      <c r="FV93" s="683"/>
      <c r="FW93" s="683"/>
      <c r="FX93" s="683"/>
      <c r="FY93" s="683"/>
      <c r="FZ93" s="683"/>
      <c r="GA93" s="683"/>
      <c r="GB93" s="683"/>
      <c r="GC93" s="683"/>
      <c r="GD93" s="683"/>
      <c r="GE93" s="683"/>
      <c r="GF93" s="683"/>
      <c r="GG93" s="683"/>
      <c r="GH93" s="683"/>
      <c r="GI93" s="683"/>
      <c r="GJ93" s="683"/>
      <c r="GK93" s="683"/>
      <c r="GL93" s="683"/>
      <c r="GM93" s="683"/>
      <c r="GN93" s="683"/>
      <c r="GO93" s="683"/>
      <c r="GP93" s="683"/>
      <c r="GQ93" s="683"/>
      <c r="GR93" s="683"/>
      <c r="GS93" s="683"/>
      <c r="GT93" s="683"/>
      <c r="GU93" s="683"/>
      <c r="GV93" s="683"/>
      <c r="GW93" s="683"/>
      <c r="GX93" s="683"/>
      <c r="GY93" s="683"/>
      <c r="GZ93" s="683"/>
      <c r="HA93" s="683"/>
      <c r="HB93" s="683"/>
      <c r="HC93" s="683"/>
      <c r="HD93" s="683"/>
      <c r="HE93" s="683"/>
      <c r="HF93" s="683"/>
      <c r="HG93" s="683"/>
      <c r="HH93" s="683"/>
      <c r="HI93" s="683"/>
      <c r="HJ93" s="683"/>
      <c r="HK93" s="683"/>
      <c r="HL93" s="683"/>
      <c r="HM93" s="683"/>
      <c r="HN93" s="683"/>
      <c r="HO93" s="683"/>
      <c r="HP93" s="683"/>
      <c r="HQ93" s="683"/>
      <c r="HR93" s="683"/>
      <c r="HS93" s="683"/>
      <c r="HT93" s="683"/>
      <c r="HU93" s="683"/>
      <c r="HV93" s="683"/>
      <c r="HW93" s="683"/>
      <c r="HX93" s="683"/>
      <c r="HY93" s="683"/>
      <c r="HZ93" s="683"/>
      <c r="IA93" s="683"/>
      <c r="IB93" s="683"/>
      <c r="IC93" s="683"/>
      <c r="ID93" s="683"/>
      <c r="IE93" s="683"/>
      <c r="IF93" s="683"/>
      <c r="IG93" s="683"/>
      <c r="IH93" s="683"/>
      <c r="II93" s="683"/>
      <c r="IJ93" s="683"/>
      <c r="IK93" s="683"/>
      <c r="IL93" s="683"/>
    </row>
    <row r="94" ht="12.75" customHeight="1" hidden="1">
      <c r="A94" s="22" t="s">
        <v>65</v>
      </c>
    </row>
    <row r="95" ht="12.75" customHeight="1" hidden="1">
      <c r="A95" s="22" t="s">
        <v>481</v>
      </c>
    </row>
    <row r="96" ht="12.75" customHeight="1" hidden="1">
      <c r="A96" s="22" t="s">
        <v>499</v>
      </c>
    </row>
    <row r="97" ht="12.75" customHeight="1" hidden="1">
      <c r="A97" s="22" t="s">
        <v>395</v>
      </c>
    </row>
    <row r="98" ht="12.75" customHeight="1" hidden="1">
      <c r="A98" s="22" t="s">
        <v>620</v>
      </c>
    </row>
    <row r="99" ht="12.75" customHeight="1" hidden="1">
      <c r="A99" s="22" t="s">
        <v>621</v>
      </c>
    </row>
    <row r="100" ht="12.75" customHeight="1" hidden="1">
      <c r="A100" s="22" t="s">
        <v>622</v>
      </c>
    </row>
    <row r="101" ht="12.75" customHeight="1" hidden="1">
      <c r="A101" s="22" t="s">
        <v>623</v>
      </c>
    </row>
    <row r="102" ht="12.75" customHeight="1" hidden="1">
      <c r="A102" s="1"/>
    </row>
    <row r="103" ht="12.75" customHeight="1" hidden="1">
      <c r="A103" s="1"/>
    </row>
    <row r="104" ht="12.75" customHeight="1" hidden="1">
      <c r="A104" s="1"/>
    </row>
    <row r="105" ht="12.75" customHeight="1" hidden="1">
      <c r="A105" s="1"/>
    </row>
    <row r="106" ht="12.75" customHeight="1" hidden="1">
      <c r="A106" s="1"/>
    </row>
    <row r="107" ht="12.75" customHeight="1" hidden="1">
      <c r="A107" s="1"/>
    </row>
    <row r="108" ht="12.75" customHeight="1" hidden="1">
      <c r="A108" s="1"/>
    </row>
    <row r="109" ht="12.75" customHeight="1" hidden="1">
      <c r="A109" s="1"/>
    </row>
    <row r="110" ht="12.75" customHeight="1" hidden="1">
      <c r="A110" s="1"/>
    </row>
    <row r="111" ht="12.75" customHeight="1" hidden="1">
      <c r="A111" s="1"/>
    </row>
    <row r="112" ht="12.75" customHeight="1" hidden="1">
      <c r="A112" s="1"/>
    </row>
    <row r="113" ht="12.75" customHeight="1" hidden="1">
      <c r="A113" s="1"/>
    </row>
    <row r="114" ht="12.75" customHeight="1" hidden="1">
      <c r="A114" s="1"/>
    </row>
    <row r="115" ht="12.75" customHeight="1" hidden="1">
      <c r="A115" s="1"/>
    </row>
    <row r="116" ht="12.75" customHeight="1" hidden="1">
      <c r="A116" s="1"/>
    </row>
    <row r="117" ht="12.75" customHeight="1" hidden="1">
      <c r="A117" s="1"/>
    </row>
    <row r="118" ht="12.75" customHeight="1" hidden="1">
      <c r="A118" s="1"/>
    </row>
    <row r="119" ht="12.75" customHeight="1" hidden="1">
      <c r="A119" s="1"/>
    </row>
    <row r="120" ht="12.75" customHeight="1" hidden="1">
      <c r="A120" s="1"/>
    </row>
    <row r="121" ht="12.75" customHeight="1" hidden="1">
      <c r="A121" s="1"/>
    </row>
    <row r="122" ht="12.75" customHeight="1" hidden="1">
      <c r="A122" s="1"/>
    </row>
    <row r="123" ht="12.75" customHeight="1" hidden="1">
      <c r="A123" s="1"/>
    </row>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sheetData>
  <sheetProtection sheet="1" objects="1" scenarios="1"/>
  <mergeCells count="5">
    <mergeCell ref="R1:R10"/>
    <mergeCell ref="F41:H41"/>
    <mergeCell ref="F44:H44"/>
    <mergeCell ref="B41:B44"/>
    <mergeCell ref="D41:D44"/>
  </mergeCells>
  <conditionalFormatting sqref="J74 J76 J78 J80 J82 F63 F55 F47 F37 F30:G31 F69">
    <cfRule type="cellIs" priority="1" dxfId="1" operator="equal" stopIfTrue="1">
      <formula>"noch leer"</formula>
    </cfRule>
  </conditionalFormatting>
  <conditionalFormatting sqref="F17 F24">
    <cfRule type="cellIs" priority="2" dxfId="0" operator="equal" stopIfTrue="1">
      <formula>"DE leer"</formula>
    </cfRule>
  </conditionalFormatting>
  <dataValidations count="3">
    <dataValidation type="list" allowBlank="1" showInputMessage="1" showErrorMessage="1" promptTitle="Formel" prompt="Wähle hier die richtige Größe aus!" errorTitle="Falsch" error="Nicht erlaubte Größe!" sqref="J50 F44:H44 F41:H41 J34:K34 F21 F14 F34 J14 F50 F60 J60 F66 J21 J66 N14">
      <formula1>$A$87:$A$101</formula1>
    </dataValidation>
    <dataValidation type="list" allowBlank="1" showInputMessage="1" showErrorMessage="1" promptTitle="Operator" prompt="Wähle jetzt die richtige Rechnungsart!" sqref="H60 H50 L14 H66 H21 H14 H34">
      <formula1>$F$87:$F$90</formula1>
    </dataValidation>
    <dataValidation type="list" allowBlank="1" showInputMessage="1" showErrorMessage="1" promptTitle="Kreuze zutreffendes an!" prompt="Wähle dazu einfach das &quot;x&quot; aus der Liste!" errorTitle="Falsche Eingabe!" error="Hier kann nur das &quot;x&quot; ausgewählt werden!" sqref="L55 L57 L28 L26 L24">
      <formula1>$L$87</formula1>
    </dataValidation>
  </dataValidations>
  <printOptions/>
  <pageMargins left="0.7874015748031497" right="0.3937007874015748" top="0.7874015748031497" bottom="0.3937007874015748" header="0.3937007874015748" footer="0"/>
  <pageSetup blackAndWhite="1" horizontalDpi="300" verticalDpi="300" orientation="portrait" paperSize="9" scale="80" r:id="rId1"/>
  <headerFooter alignWithMargins="0">
    <oddHeader>&amp;R&amp;8&amp;U&amp;F - Seite &amp;P/&amp;N</oddHeader>
  </headerFooter>
</worksheet>
</file>

<file path=xl/worksheets/sheet2.xml><?xml version="1.0" encoding="utf-8"?>
<worksheet xmlns="http://schemas.openxmlformats.org/spreadsheetml/2006/main" xmlns:r="http://schemas.openxmlformats.org/officeDocument/2006/relationships">
  <sheetPr>
    <tabColor indexed="10"/>
  </sheetPr>
  <dimension ref="A1:AA270"/>
  <sheetViews>
    <sheetView showGridLines="0" zoomScalePageLayoutView="0" workbookViewId="0" topLeftCell="A1">
      <pane ySplit="2" topLeftCell="A3" activePane="bottomLeft" state="frozen"/>
      <selection pane="topLeft" activeCell="E12" sqref="E12:M18"/>
      <selection pane="bottomLeft" activeCell="H5" sqref="H5"/>
    </sheetView>
  </sheetViews>
  <sheetFormatPr defaultColWidth="0" defaultRowHeight="12.75" customHeight="1" zeroHeight="1"/>
  <cols>
    <col min="1" max="1" width="20.7109375" style="0" customWidth="1"/>
    <col min="2" max="2" width="0.85546875" style="0" customWidth="1"/>
    <col min="3" max="3" width="3.7109375" style="0" customWidth="1"/>
    <col min="4" max="5" width="2.7109375" style="0" customWidth="1"/>
    <col min="6" max="6" width="20.7109375" style="0" customWidth="1"/>
    <col min="7" max="7" width="1.8515625" style="0" bestFit="1" customWidth="1"/>
    <col min="8" max="8" width="11.7109375" style="0" customWidth="1"/>
    <col min="9" max="9" width="1.8515625" style="0" bestFit="1" customWidth="1"/>
    <col min="10" max="10" width="0.85546875" style="0" customWidth="1"/>
    <col min="11" max="11" width="22.7109375" style="0" customWidth="1"/>
    <col min="12" max="12" width="1.8515625" style="0" bestFit="1" customWidth="1"/>
    <col min="13" max="13" width="11.7109375" style="0" customWidth="1"/>
    <col min="14" max="14" width="10.7109375" style="0" customWidth="1"/>
    <col min="15" max="15" width="4.7109375" style="0" customWidth="1"/>
    <col min="16" max="16" width="1.7109375" style="0" customWidth="1"/>
    <col min="17" max="17" width="4.7109375" style="0" customWidth="1"/>
    <col min="18" max="18" width="2.7109375" style="0" hidden="1" customWidth="1"/>
    <col min="19" max="22" width="10.7109375" style="0" hidden="1" customWidth="1"/>
    <col min="23" max="23" width="2.7109375" style="0" hidden="1" customWidth="1"/>
    <col min="24" max="24" width="25.7109375" style="0" hidden="1" customWidth="1"/>
    <col min="25" max="25" width="12.7109375" style="0" hidden="1" customWidth="1"/>
    <col min="26" max="26" width="25.7109375" style="0" hidden="1" customWidth="1"/>
    <col min="27" max="16384" width="11.421875" style="0" hidden="1" customWidth="1"/>
  </cols>
  <sheetData>
    <row r="1" spans="1:27" ht="24.75" customHeight="1">
      <c r="A1" s="1043" t="s">
        <v>100</v>
      </c>
      <c r="B1" s="129"/>
      <c r="C1" s="822" t="s">
        <v>101</v>
      </c>
      <c r="D1" s="823"/>
      <c r="E1" s="823"/>
      <c r="F1" s="823"/>
      <c r="G1" s="823"/>
      <c r="H1" s="823"/>
      <c r="I1" s="823"/>
      <c r="J1" s="823"/>
      <c r="K1" s="823"/>
      <c r="L1" s="823"/>
      <c r="M1" s="830" t="s">
        <v>11</v>
      </c>
      <c r="N1" s="830" t="str">
        <f>Korrektur!L1</f>
        <v>x</v>
      </c>
      <c r="O1" s="1045" t="s">
        <v>696</v>
      </c>
      <c r="P1" s="1045"/>
      <c r="Q1" s="1045"/>
      <c r="R1" s="36"/>
      <c r="S1" s="36"/>
      <c r="T1" s="36"/>
      <c r="U1" s="36"/>
      <c r="V1" s="36"/>
      <c r="W1" s="36"/>
      <c r="X1" s="36"/>
      <c r="Y1" s="36"/>
      <c r="Z1" s="36"/>
      <c r="AA1" s="36"/>
    </row>
    <row r="2" spans="1:27" ht="30" customHeight="1">
      <c r="A2" s="1044"/>
      <c r="B2" s="130"/>
      <c r="C2" s="36"/>
      <c r="D2" s="36"/>
      <c r="E2" s="36"/>
      <c r="F2" s="36"/>
      <c r="G2" s="36"/>
      <c r="H2" s="36"/>
      <c r="I2" s="36"/>
      <c r="J2" s="36"/>
      <c r="K2" s="36"/>
      <c r="L2" s="36"/>
      <c r="M2" s="36"/>
      <c r="N2" s="36"/>
      <c r="O2" s="131"/>
      <c r="P2" s="36"/>
      <c r="Q2" s="132"/>
      <c r="R2" s="36"/>
      <c r="S2" s="36"/>
      <c r="T2" s="36"/>
      <c r="U2" s="36"/>
      <c r="V2" s="36"/>
      <c r="W2" s="36"/>
      <c r="X2" s="36"/>
      <c r="Y2" s="36"/>
      <c r="Z2" s="36"/>
      <c r="AA2" s="36"/>
    </row>
    <row r="3" spans="1:27" ht="12.75">
      <c r="A3" s="831"/>
      <c r="B3" s="130"/>
      <c r="C3" s="92" t="s">
        <v>102</v>
      </c>
      <c r="D3" s="92" t="s">
        <v>103</v>
      </c>
      <c r="E3" s="92"/>
      <c r="F3" s="36"/>
      <c r="G3" s="36"/>
      <c r="H3" s="36"/>
      <c r="I3" s="36"/>
      <c r="J3" s="36"/>
      <c r="K3" s="36"/>
      <c r="L3" s="36"/>
      <c r="M3" s="36"/>
      <c r="N3" s="36"/>
      <c r="O3" s="131"/>
      <c r="P3" s="36"/>
      <c r="Q3" s="132"/>
      <c r="R3" s="36"/>
      <c r="S3" s="36"/>
      <c r="T3" s="36"/>
      <c r="U3" s="36"/>
      <c r="V3" s="36"/>
      <c r="W3" s="36"/>
      <c r="X3" s="36"/>
      <c r="Y3" s="36"/>
      <c r="Z3" s="36"/>
      <c r="AA3" s="36"/>
    </row>
    <row r="4" spans="1:27" ht="12.75">
      <c r="A4" s="831"/>
      <c r="B4" s="130"/>
      <c r="C4" s="36"/>
      <c r="D4" s="36" t="s">
        <v>104</v>
      </c>
      <c r="E4" s="36" t="s">
        <v>105</v>
      </c>
      <c r="F4" s="36"/>
      <c r="G4" s="36"/>
      <c r="H4" s="36"/>
      <c r="I4" s="36"/>
      <c r="J4" s="36"/>
      <c r="K4" s="36"/>
      <c r="L4" s="36"/>
      <c r="M4" s="36"/>
      <c r="N4" s="36"/>
      <c r="O4" s="131"/>
      <c r="P4" s="3"/>
      <c r="Q4" s="1012"/>
      <c r="R4" s="3"/>
      <c r="S4" s="989" t="s">
        <v>4</v>
      </c>
      <c r="T4" s="3"/>
      <c r="U4" s="36"/>
      <c r="V4" s="36"/>
      <c r="W4" s="36"/>
      <c r="X4" s="36"/>
      <c r="Y4" s="36"/>
      <c r="Z4" s="36"/>
      <c r="AA4" s="36"/>
    </row>
    <row r="5" spans="1:27" ht="11.25" customHeight="1">
      <c r="A5" s="831"/>
      <c r="B5" s="130"/>
      <c r="C5" s="812"/>
      <c r="D5" s="36"/>
      <c r="E5" s="36" t="s">
        <v>106</v>
      </c>
      <c r="F5" s="36"/>
      <c r="G5" s="36"/>
      <c r="H5" s="134"/>
      <c r="I5" s="846" t="s">
        <v>528</v>
      </c>
      <c r="J5" s="843"/>
      <c r="K5" s="1049" t="s">
        <v>591</v>
      </c>
      <c r="L5" s="1050"/>
      <c r="M5" s="1050"/>
      <c r="N5" s="36"/>
      <c r="O5" s="135">
        <f>IF(H5="","",IF(S5=H5,Q5,0))</f>
      </c>
      <c r="P5" s="3" t="s">
        <v>107</v>
      </c>
      <c r="Q5" s="1012">
        <v>1</v>
      </c>
      <c r="R5" s="3"/>
      <c r="S5" s="1013">
        <f>IF(Korrektur!D65="","",Korrektur!D65)</f>
        <v>24446.845670476192</v>
      </c>
      <c r="T5" s="3"/>
      <c r="U5" s="36"/>
      <c r="V5" s="36"/>
      <c r="W5" s="36"/>
      <c r="X5" s="36"/>
      <c r="Y5" s="36"/>
      <c r="Z5" s="36"/>
      <c r="AA5" s="36"/>
    </row>
    <row r="6" spans="1:27" ht="3.75" customHeight="1">
      <c r="A6" s="831"/>
      <c r="B6" s="130"/>
      <c r="C6" s="36"/>
      <c r="D6" s="36"/>
      <c r="E6" s="36"/>
      <c r="F6" s="36"/>
      <c r="G6" s="36"/>
      <c r="H6" s="36"/>
      <c r="I6" s="844"/>
      <c r="J6" s="36"/>
      <c r="K6" s="1050"/>
      <c r="L6" s="1050"/>
      <c r="M6" s="1050"/>
      <c r="N6" s="36"/>
      <c r="O6" s="131"/>
      <c r="P6" s="3"/>
      <c r="Q6" s="1012"/>
      <c r="R6" s="3"/>
      <c r="S6" s="877"/>
      <c r="T6" s="3"/>
      <c r="U6" s="36"/>
      <c r="V6" s="36"/>
      <c r="W6" s="36"/>
      <c r="X6" s="36"/>
      <c r="Y6" s="36"/>
      <c r="Z6" s="36"/>
      <c r="AA6" s="36"/>
    </row>
    <row r="7" spans="1:27" ht="12.75">
      <c r="A7" s="831"/>
      <c r="B7" s="130"/>
      <c r="C7" s="36"/>
      <c r="D7" s="36"/>
      <c r="E7" s="36" t="s">
        <v>108</v>
      </c>
      <c r="F7" s="36"/>
      <c r="G7" s="36"/>
      <c r="H7" s="134"/>
      <c r="I7" s="846" t="s">
        <v>528</v>
      </c>
      <c r="J7" s="36"/>
      <c r="K7" s="1050"/>
      <c r="L7" s="1050"/>
      <c r="M7" s="1050"/>
      <c r="N7" s="36"/>
      <c r="O7" s="135">
        <f>IF(H7="","",IF(S7=H7,Q7,0))</f>
      </c>
      <c r="P7" s="3" t="s">
        <v>107</v>
      </c>
      <c r="Q7" s="1012">
        <v>1</v>
      </c>
      <c r="R7" s="3"/>
      <c r="S7" s="1013">
        <f>IF(Ist!I30="","",Ist!I30)</f>
        <v>-18200</v>
      </c>
      <c r="T7" s="3"/>
      <c r="U7" s="36"/>
      <c r="V7" s="36"/>
      <c r="W7" s="36"/>
      <c r="X7" s="36"/>
      <c r="Y7" s="36"/>
      <c r="Z7" s="36"/>
      <c r="AA7" s="36"/>
    </row>
    <row r="8" spans="1:27" ht="3.75" customHeight="1">
      <c r="A8" s="831"/>
      <c r="B8" s="130"/>
      <c r="C8" s="36"/>
      <c r="D8" s="36"/>
      <c r="E8" s="36"/>
      <c r="F8" s="36"/>
      <c r="G8" s="36"/>
      <c r="H8" s="36"/>
      <c r="I8" s="844"/>
      <c r="J8" s="36"/>
      <c r="K8" s="845"/>
      <c r="L8" s="845"/>
      <c r="M8" s="845"/>
      <c r="N8" s="36"/>
      <c r="O8" s="131"/>
      <c r="P8" s="3"/>
      <c r="Q8" s="1012"/>
      <c r="R8" s="3"/>
      <c r="S8" s="877"/>
      <c r="T8" s="3"/>
      <c r="U8" s="36"/>
      <c r="V8" s="36"/>
      <c r="W8" s="36"/>
      <c r="X8" s="36"/>
      <c r="Y8" s="36"/>
      <c r="Z8" s="36"/>
      <c r="AA8" s="36"/>
    </row>
    <row r="9" spans="1:27" ht="12.75">
      <c r="A9" s="831"/>
      <c r="B9" s="130"/>
      <c r="C9" s="36"/>
      <c r="D9" s="36"/>
      <c r="E9" s="36" t="s">
        <v>109</v>
      </c>
      <c r="F9" s="36"/>
      <c r="G9" s="36"/>
      <c r="H9" s="134"/>
      <c r="I9" s="846" t="s">
        <v>528</v>
      </c>
      <c r="J9" s="36"/>
      <c r="K9" s="845"/>
      <c r="L9" s="845"/>
      <c r="M9" s="845"/>
      <c r="N9" s="36"/>
      <c r="O9" s="135">
        <f>IF(H9="","",IF(S9=H9,Q9,0))</f>
      </c>
      <c r="P9" s="3" t="s">
        <v>107</v>
      </c>
      <c r="Q9" s="1012">
        <v>1</v>
      </c>
      <c r="R9" s="3"/>
      <c r="S9" s="1013">
        <f>IF(AND(Ist!I30="",Ist!I31="",Ist!I33="",Korrektur!D65=""),"",SUM(Korrektur!D65,Ist!I30:I31,Ist!I33))</f>
        <v>6334.845670476192</v>
      </c>
      <c r="T9" s="3"/>
      <c r="U9" s="36"/>
      <c r="V9" s="36"/>
      <c r="W9" s="36"/>
      <c r="X9" s="36"/>
      <c r="Y9" s="36"/>
      <c r="Z9" s="36"/>
      <c r="AA9" s="36"/>
    </row>
    <row r="10" spans="1:27" ht="3.75" customHeight="1">
      <c r="A10" s="831"/>
      <c r="B10" s="130"/>
      <c r="C10" s="36"/>
      <c r="D10" s="36"/>
      <c r="E10" s="36"/>
      <c r="F10" s="36"/>
      <c r="G10" s="36"/>
      <c r="H10" s="36"/>
      <c r="I10" s="844"/>
      <c r="J10" s="36"/>
      <c r="K10" s="845"/>
      <c r="L10" s="845"/>
      <c r="M10" s="845"/>
      <c r="N10" s="36"/>
      <c r="O10" s="131"/>
      <c r="P10" s="3"/>
      <c r="Q10" s="1012"/>
      <c r="R10" s="3"/>
      <c r="S10" s="877"/>
      <c r="T10" s="3"/>
      <c r="U10" s="36"/>
      <c r="V10" s="36"/>
      <c r="W10" s="36"/>
      <c r="X10" s="36"/>
      <c r="Y10" s="36"/>
      <c r="Z10" s="36"/>
      <c r="AA10" s="36"/>
    </row>
    <row r="11" spans="1:27" ht="12.75">
      <c r="A11" s="831"/>
      <c r="B11" s="130"/>
      <c r="C11" s="36"/>
      <c r="D11" s="36"/>
      <c r="E11" s="36" t="s">
        <v>110</v>
      </c>
      <c r="F11" s="36"/>
      <c r="G11" s="36"/>
      <c r="H11" s="134"/>
      <c r="I11" s="846" t="s">
        <v>528</v>
      </c>
      <c r="J11" s="36"/>
      <c r="K11" s="845"/>
      <c r="L11" s="845"/>
      <c r="M11" s="845"/>
      <c r="N11" s="36"/>
      <c r="O11" s="135">
        <f>IF(H11="","",IF(S11=H11,Q11,0))</f>
      </c>
      <c r="P11" s="3" t="s">
        <v>107</v>
      </c>
      <c r="Q11" s="1012">
        <v>1</v>
      </c>
      <c r="R11" s="3"/>
      <c r="S11" s="1013">
        <f>IF(Ist!I31="","",Ist!I31)</f>
        <v>-452</v>
      </c>
      <c r="T11" s="3"/>
      <c r="U11" s="36"/>
      <c r="V11" s="36"/>
      <c r="W11" s="36"/>
      <c r="X11" s="36"/>
      <c r="Y11" s="36"/>
      <c r="Z11" s="36"/>
      <c r="AA11" s="36"/>
    </row>
    <row r="12" spans="1:27" ht="12.75">
      <c r="A12" s="831"/>
      <c r="B12" s="130"/>
      <c r="C12" s="36"/>
      <c r="D12" s="36"/>
      <c r="E12" s="36"/>
      <c r="F12" s="36"/>
      <c r="G12" s="36"/>
      <c r="H12" s="36"/>
      <c r="I12" s="36"/>
      <c r="J12" s="36"/>
      <c r="K12" s="36"/>
      <c r="L12" s="36"/>
      <c r="M12" s="36"/>
      <c r="N12" s="36"/>
      <c r="O12" s="131"/>
      <c r="P12" s="3"/>
      <c r="Q12" s="1012"/>
      <c r="R12" s="3"/>
      <c r="S12" s="877"/>
      <c r="T12" s="3"/>
      <c r="U12" s="36"/>
      <c r="V12" s="36"/>
      <c r="W12" s="36"/>
      <c r="X12" s="36"/>
      <c r="Y12" s="36"/>
      <c r="Z12" s="36"/>
      <c r="AA12" s="36"/>
    </row>
    <row r="13" spans="1:27" ht="12.75">
      <c r="A13" s="831"/>
      <c r="B13" s="130"/>
      <c r="C13" s="36"/>
      <c r="D13" s="36" t="s">
        <v>111</v>
      </c>
      <c r="E13" s="36" t="s">
        <v>112</v>
      </c>
      <c r="F13" s="36"/>
      <c r="G13" s="36"/>
      <c r="H13" s="36"/>
      <c r="I13" s="36"/>
      <c r="J13" s="36"/>
      <c r="K13" s="36"/>
      <c r="L13" s="36"/>
      <c r="M13" s="36"/>
      <c r="N13" s="36"/>
      <c r="O13" s="131"/>
      <c r="P13" s="3"/>
      <c r="Q13" s="1012"/>
      <c r="R13" s="3"/>
      <c r="S13" s="989" t="s">
        <v>4</v>
      </c>
      <c r="T13" s="3"/>
      <c r="U13" s="989" t="s">
        <v>4</v>
      </c>
      <c r="V13" s="990"/>
      <c r="W13" s="990"/>
      <c r="X13" s="990"/>
      <c r="Y13" s="36"/>
      <c r="Z13" s="36"/>
      <c r="AA13" s="36"/>
    </row>
    <row r="14" spans="1:27" ht="12.75" customHeight="1">
      <c r="A14" s="831"/>
      <c r="B14" s="130"/>
      <c r="C14" s="36"/>
      <c r="D14" s="36"/>
      <c r="E14" s="1046"/>
      <c r="F14" s="1047"/>
      <c r="G14" s="1047"/>
      <c r="H14" s="1047"/>
      <c r="I14" s="1047"/>
      <c r="J14" s="1047"/>
      <c r="K14" s="1047"/>
      <c r="L14" s="1047"/>
      <c r="M14" s="1048"/>
      <c r="N14" s="138"/>
      <c r="O14" s="135">
        <f>IF(E14="","",IF(S14=E14,Q14,0))</f>
      </c>
      <c r="P14" s="3" t="s">
        <v>107</v>
      </c>
      <c r="Q14" s="1012">
        <v>1</v>
      </c>
      <c r="R14" s="3"/>
      <c r="S14" s="1014" t="str">
        <f>IF(S5&lt;-S7,S15,IF(S5=-S7,S16,IF(S5&gt;-S7,S17,"")))</f>
        <v>Lebenshaltungskosten (18 200,00 €) &lt; Gesamteinkommen (24 446,85 €)</v>
      </c>
      <c r="T14" s="136" t="s">
        <v>113</v>
      </c>
      <c r="U14" s="36" t="str">
        <f>IF('[2]E-ErgInt'!$E14="","",'[2]E-ErgInt'!$E14)</f>
        <v>Lebenshaltungekosten (18 200,00 €) &lt; Gesamteinkommen (24 446,85 €)</v>
      </c>
      <c r="W14" s="36"/>
      <c r="X14" s="36"/>
      <c r="Y14" s="36"/>
      <c r="Z14" s="36"/>
      <c r="AA14" s="36"/>
    </row>
    <row r="15" spans="1:27" ht="11.25" customHeight="1">
      <c r="A15" s="831"/>
      <c r="B15" s="130"/>
      <c r="C15" s="36"/>
      <c r="D15" s="36"/>
      <c r="E15" s="813" t="s">
        <v>524</v>
      </c>
      <c r="F15" s="220"/>
      <c r="G15" s="220"/>
      <c r="H15" s="220"/>
      <c r="I15" s="220"/>
      <c r="J15" s="220"/>
      <c r="K15" s="220"/>
      <c r="L15" s="220"/>
      <c r="M15" s="220"/>
      <c r="N15" s="138"/>
      <c r="O15" s="149"/>
      <c r="P15" s="3"/>
      <c r="Q15" s="3"/>
      <c r="R15" s="3"/>
      <c r="S15" s="877" t="str">
        <f>IF(OR(S7="",S5=""),"Daten fehlen!","Lebenshaltungskosten ("&amp;TEXT(-S7,"# ##0,00")&amp;" €) &gt; Gesamteinkommen ("&amp;TEXT(S5,"# ##0,00")&amp;" €)")</f>
        <v>Lebenshaltungskosten (18 200,00 €) &gt; Gesamteinkommen (24 446,85 €)</v>
      </c>
      <c r="T15" s="848" t="str">
        <f>IF(OR(H7="",H5=""),"Daten fehlen!","Lebenshaltungskosten ("&amp;TEXT(-H7,"# ##0,00")&amp;" €) &gt; Gesamteinkommen ("&amp;TEXT(H5,"# ##0,00")&amp;" €)")</f>
        <v>Daten fehlen!</v>
      </c>
      <c r="U15" s="36"/>
      <c r="V15" s="36"/>
      <c r="W15" s="36"/>
      <c r="X15" s="36"/>
      <c r="Y15" s="36"/>
      <c r="Z15" s="36"/>
      <c r="AA15" s="36"/>
    </row>
    <row r="16" spans="1:27" ht="12.75" customHeight="1">
      <c r="A16" s="831"/>
      <c r="B16" s="130"/>
      <c r="C16" s="36"/>
      <c r="D16" s="36"/>
      <c r="E16" s="141"/>
      <c r="F16" s="1035" t="str">
        <f>IF(OR(H7="",H5=""),"Daten fehlen!","Die Lebenshaltungskosten können ohne große Anstrengungen bestritten werden. Auch der Kapitaldienst kann ohne Probleme bestritten werden. Es bleiben sogar noch finanzielle Reserven für künftige private oder betriebliche Investitionen.")</f>
        <v>Daten fehlen!</v>
      </c>
      <c r="G16" s="1035"/>
      <c r="H16" s="1035"/>
      <c r="I16" s="1035"/>
      <c r="J16" s="1035"/>
      <c r="K16" s="1035"/>
      <c r="L16" s="1035"/>
      <c r="M16" s="1035"/>
      <c r="N16" s="138"/>
      <c r="O16" s="135">
        <f>IF(AND(E16='[2]E-ErgInt'!E16,E19='[2]E-ErgInt'!E19,E21='[2]E-ErgInt'!E21),Q16,"")</f>
      </c>
      <c r="P16" s="3" t="s">
        <v>107</v>
      </c>
      <c r="Q16" s="1012">
        <v>1</v>
      </c>
      <c r="R16" s="3"/>
      <c r="S16" s="877" t="str">
        <f>IF(OR(S7="",S5=""),"Daten fehlen!","Lebenshaltungskosten ("&amp;TEXT(-S7,"# ##0,00")&amp;" €) = Gesamteinkommen ("&amp;TEXT(S5,"# ##0,00")&amp;" €)")</f>
        <v>Lebenshaltungskosten (18 200,00 €) = Gesamteinkommen (24 446,85 €)</v>
      </c>
      <c r="T16" s="848" t="str">
        <f>IF(OR(H7="",H5=""),"Daten fehlen!","Lebenshaltungskosten ("&amp;TEXT(-H7,"# ##0,00")&amp;" €) = Gesamteinkommen ("&amp;TEXT(H5,"# ##0,00")&amp;" €)")</f>
        <v>Daten fehlen!</v>
      </c>
      <c r="U16" s="36"/>
      <c r="V16" s="36"/>
      <c r="W16" s="36"/>
      <c r="X16" s="36"/>
      <c r="Y16" s="36"/>
      <c r="Z16" s="36"/>
      <c r="AA16" s="36"/>
    </row>
    <row r="17" spans="1:27" ht="12.75" customHeight="1">
      <c r="A17" s="831"/>
      <c r="B17" s="130"/>
      <c r="C17" s="36"/>
      <c r="D17" s="36"/>
      <c r="E17" s="814"/>
      <c r="F17" s="1035"/>
      <c r="G17" s="1035"/>
      <c r="H17" s="1035"/>
      <c r="I17" s="1035"/>
      <c r="J17" s="1035"/>
      <c r="K17" s="1035"/>
      <c r="L17" s="1035"/>
      <c r="M17" s="1035"/>
      <c r="N17" s="138"/>
      <c r="O17" s="1012"/>
      <c r="P17" s="1012"/>
      <c r="Q17" s="1012"/>
      <c r="R17" s="3"/>
      <c r="S17" s="877" t="str">
        <f>IF(OR(S7="",S5=""),"Daten fehlen!","Lebenshaltungskosten ("&amp;TEXT(-S7,"# ##0,00")&amp;" €) &lt; Gesamteinkommen ("&amp;TEXT(S5,"# ##0,00")&amp;" €)")</f>
        <v>Lebenshaltungskosten (18 200,00 €) &lt; Gesamteinkommen (24 446,85 €)</v>
      </c>
      <c r="T17" s="848" t="str">
        <f>IF(OR(H7="",H5=""),"Daten fehlen!","Lebenshaltungskosten ("&amp;TEXT(-H7,"# ##0,00")&amp;" €) &lt; Gesamteinkommen ("&amp;TEXT(H5,"# ##0,00")&amp;" €)")</f>
        <v>Daten fehlen!</v>
      </c>
      <c r="U17" s="36"/>
      <c r="V17" s="139"/>
      <c r="W17" s="36"/>
      <c r="X17" s="36"/>
      <c r="Y17" s="36"/>
      <c r="Z17" s="36"/>
      <c r="AA17" s="36"/>
    </row>
    <row r="18" spans="1:27" ht="12.75" customHeight="1">
      <c r="A18" s="831"/>
      <c r="B18" s="130"/>
      <c r="C18" s="36"/>
      <c r="D18" s="36"/>
      <c r="E18" s="814"/>
      <c r="F18" s="1035"/>
      <c r="G18" s="1035"/>
      <c r="H18" s="1035"/>
      <c r="I18" s="1035"/>
      <c r="J18" s="1035"/>
      <c r="K18" s="1035"/>
      <c r="L18" s="1035"/>
      <c r="M18" s="1035"/>
      <c r="N18" s="138"/>
      <c r="O18" s="1012"/>
      <c r="P18" s="1012"/>
      <c r="Q18" s="1012"/>
      <c r="R18" s="3"/>
      <c r="S18" s="877"/>
      <c r="T18" s="139"/>
      <c r="U18" s="36"/>
      <c r="V18" s="139"/>
      <c r="W18" s="36"/>
      <c r="X18" s="36"/>
      <c r="Y18" s="36"/>
      <c r="Z18" s="36"/>
      <c r="AA18" s="36"/>
    </row>
    <row r="19" spans="1:27" ht="12.75" customHeight="1">
      <c r="A19" s="831"/>
      <c r="B19" s="130"/>
      <c r="C19" s="36"/>
      <c r="D19" s="36"/>
      <c r="E19" s="141"/>
      <c r="F19" s="1035" t="str">
        <f>IF(OR(H7="",H5=""),"Daten fehlen!","Die Lebenshaltungskosten können zwar gerade noch bestritten werden. Aber für Kapitaldienst oder gar für Rücklagenbildung bleiben keine Reserven mehr.")</f>
        <v>Daten fehlen!</v>
      </c>
      <c r="G19" s="1035"/>
      <c r="H19" s="1035"/>
      <c r="I19" s="1035"/>
      <c r="J19" s="1035"/>
      <c r="K19" s="1035"/>
      <c r="L19" s="1035"/>
      <c r="M19" s="1035"/>
      <c r="N19" s="138"/>
      <c r="O19" s="1012"/>
      <c r="P19" s="1012"/>
      <c r="Q19" s="1012"/>
      <c r="R19" s="3"/>
      <c r="S19" s="877"/>
      <c r="T19" s="3"/>
      <c r="U19" s="36"/>
      <c r="V19" s="36"/>
      <c r="W19" s="36"/>
      <c r="X19" s="36"/>
      <c r="Y19" s="36"/>
      <c r="Z19" s="36"/>
      <c r="AA19" s="36"/>
    </row>
    <row r="20" spans="1:27" ht="12.75" customHeight="1">
      <c r="A20" s="831"/>
      <c r="B20" s="130"/>
      <c r="C20" s="36"/>
      <c r="D20" s="36"/>
      <c r="E20" s="814"/>
      <c r="F20" s="1035"/>
      <c r="G20" s="1035"/>
      <c r="H20" s="1035"/>
      <c r="I20" s="1035"/>
      <c r="J20" s="1035"/>
      <c r="K20" s="1035"/>
      <c r="L20" s="1035"/>
      <c r="M20" s="1035"/>
      <c r="N20" s="138"/>
      <c r="O20" s="1012"/>
      <c r="P20" s="1012"/>
      <c r="Q20" s="1012"/>
      <c r="R20" s="3"/>
      <c r="S20" s="877"/>
      <c r="T20" s="136"/>
      <c r="U20" s="36"/>
      <c r="V20" s="136"/>
      <c r="W20" s="36"/>
      <c r="X20" s="36"/>
      <c r="Y20" s="36"/>
      <c r="Z20" s="36"/>
      <c r="AA20" s="36"/>
    </row>
    <row r="21" spans="1:27" ht="12.75" customHeight="1">
      <c r="A21" s="831"/>
      <c r="B21" s="130"/>
      <c r="C21" s="36"/>
      <c r="D21" s="36"/>
      <c r="E21" s="141"/>
      <c r="F21" s="1051" t="str">
        <f>IF(OR(H7="",H5=""),"Daten fehlen!","Es können nicht einmal die Lebenshaltungskosten abgedeckt werden. Folglich wird die rechtzeitige Bezahlung des Kapitaldienstes problematisch werden. Das wiederum kann den Betrieb in Existenzgefahr bringen!")</f>
        <v>Daten fehlen!</v>
      </c>
      <c r="G21" s="1051"/>
      <c r="H21" s="1051"/>
      <c r="I21" s="1051"/>
      <c r="J21" s="1051"/>
      <c r="K21" s="1051"/>
      <c r="L21" s="1051"/>
      <c r="M21" s="1051"/>
      <c r="N21" s="138"/>
      <c r="O21" s="1012"/>
      <c r="P21" s="1012"/>
      <c r="Q21" s="1012"/>
      <c r="R21" s="3"/>
      <c r="S21" s="877"/>
      <c r="T21" s="136"/>
      <c r="U21" s="36"/>
      <c r="V21" s="136"/>
      <c r="W21" s="36"/>
      <c r="X21" s="36"/>
      <c r="Y21" s="36"/>
      <c r="Z21" s="36"/>
      <c r="AA21" s="36"/>
    </row>
    <row r="22" spans="1:27" ht="12.75" customHeight="1">
      <c r="A22" s="831"/>
      <c r="B22" s="130"/>
      <c r="C22" s="36"/>
      <c r="D22" s="36"/>
      <c r="E22" s="814"/>
      <c r="F22" s="1051"/>
      <c r="G22" s="1051"/>
      <c r="H22" s="1051"/>
      <c r="I22" s="1051"/>
      <c r="J22" s="1051"/>
      <c r="K22" s="1051"/>
      <c r="L22" s="1051"/>
      <c r="M22" s="1051"/>
      <c r="N22" s="138"/>
      <c r="O22" s="1012"/>
      <c r="P22" s="1012"/>
      <c r="Q22" s="1012"/>
      <c r="R22" s="3"/>
      <c r="S22" s="877"/>
      <c r="T22" s="3"/>
      <c r="U22" s="36"/>
      <c r="V22" s="36"/>
      <c r="W22" s="36"/>
      <c r="X22" s="36"/>
      <c r="Y22" s="36"/>
      <c r="Z22" s="36"/>
      <c r="AA22" s="36"/>
    </row>
    <row r="23" spans="1:27" ht="12.75" customHeight="1">
      <c r="A23" s="831"/>
      <c r="B23" s="130"/>
      <c r="C23" s="36"/>
      <c r="D23" s="36"/>
      <c r="E23" s="814"/>
      <c r="F23" s="1051"/>
      <c r="G23" s="1051"/>
      <c r="H23" s="1051"/>
      <c r="I23" s="1051"/>
      <c r="J23" s="1051"/>
      <c r="K23" s="1051"/>
      <c r="L23" s="1051"/>
      <c r="M23" s="1051"/>
      <c r="N23" s="138"/>
      <c r="O23" s="1012"/>
      <c r="P23" s="1012"/>
      <c r="Q23" s="1012"/>
      <c r="R23" s="3"/>
      <c r="S23" s="877"/>
      <c r="T23" s="3"/>
      <c r="U23" s="36"/>
      <c r="V23" s="139"/>
      <c r="W23" s="36"/>
      <c r="X23" s="36"/>
      <c r="Y23" s="36"/>
      <c r="Z23" s="36"/>
      <c r="AA23" s="36"/>
    </row>
    <row r="24" spans="1:27" ht="12.75" customHeight="1">
      <c r="A24" s="831"/>
      <c r="B24" s="130"/>
      <c r="C24" s="36"/>
      <c r="D24" s="36"/>
      <c r="E24" s="814"/>
      <c r="F24" s="815"/>
      <c r="G24" s="815"/>
      <c r="H24" s="815"/>
      <c r="I24" s="815"/>
      <c r="J24" s="815"/>
      <c r="K24" s="815"/>
      <c r="L24" s="815"/>
      <c r="M24" s="815"/>
      <c r="N24" s="138"/>
      <c r="O24" s="1012"/>
      <c r="P24" s="1012"/>
      <c r="Q24" s="1012"/>
      <c r="R24" s="3"/>
      <c r="S24" s="877"/>
      <c r="T24" s="3"/>
      <c r="U24" s="36"/>
      <c r="V24" s="139"/>
      <c r="W24" s="36"/>
      <c r="X24" s="36"/>
      <c r="Y24" s="36"/>
      <c r="Z24" s="36"/>
      <c r="AA24" s="36"/>
    </row>
    <row r="25" spans="1:27" ht="12.75" customHeight="1">
      <c r="A25" s="831"/>
      <c r="B25" s="130"/>
      <c r="C25" s="36"/>
      <c r="D25" s="36"/>
      <c r="E25" s="1036"/>
      <c r="F25" s="1037"/>
      <c r="G25" s="1037"/>
      <c r="H25" s="1037"/>
      <c r="I25" s="1037"/>
      <c r="J25" s="1037"/>
      <c r="K25" s="1037"/>
      <c r="L25" s="1037"/>
      <c r="M25" s="1038"/>
      <c r="N25" s="138"/>
      <c r="O25" s="135">
        <f>IF(E25="","",IF(S25=E25,Q25,0))</f>
      </c>
      <c r="P25" s="3" t="s">
        <v>107</v>
      </c>
      <c r="Q25" s="1012">
        <v>1</v>
      </c>
      <c r="R25" s="3"/>
      <c r="S25" s="1014" t="str">
        <f>IF(S9&gt;-S11,S26,IF(S9&lt;-S11,S27,IF(S9=-S11,S28,"")))</f>
        <v>Kapitaldienst (452,00 €) &lt; Kapitaldienstgrenze (6 334,85 €)</v>
      </c>
      <c r="T25" s="136" t="s">
        <v>114</v>
      </c>
      <c r="U25" s="36" t="str">
        <f>IF('[2]E-ErgInt'!$E25="","",'[2]E-ErgInt'!$E25)</f>
        <v>Kapitaldienst (452,00 €) &lt; Kapitaldienstgrenze (6 334,85 €)</v>
      </c>
      <c r="V25" s="36"/>
      <c r="W25" s="36"/>
      <c r="X25" s="36"/>
      <c r="Y25" s="36"/>
      <c r="Z25" s="36"/>
      <c r="AA25" s="36"/>
    </row>
    <row r="26" spans="1:27" ht="12.75" customHeight="1">
      <c r="A26" s="831"/>
      <c r="B26" s="130"/>
      <c r="C26" s="36"/>
      <c r="D26" s="36"/>
      <c r="E26" s="813" t="s">
        <v>524</v>
      </c>
      <c r="F26" s="220"/>
      <c r="G26" s="220"/>
      <c r="H26" s="220"/>
      <c r="I26" s="220"/>
      <c r="J26" s="220"/>
      <c r="K26" s="220"/>
      <c r="L26" s="220"/>
      <c r="M26" s="220"/>
      <c r="N26" s="138"/>
      <c r="O26" s="149"/>
      <c r="P26" s="3"/>
      <c r="Q26" s="3"/>
      <c r="R26" s="3"/>
      <c r="S26" s="877" t="str">
        <f>IF(OR(S11="",S9=""),"Daten fehlen!","Kapitaldienst ("&amp;TEXT(-S11,"# ##0,00")&amp;" €) &lt; Kapitaldienstgrenze ("&amp;TEXT(S9,"# ##0,00")&amp;" €)")</f>
        <v>Kapitaldienst (452,00 €) &lt; Kapitaldienstgrenze (6 334,85 €)</v>
      </c>
      <c r="T26" s="848" t="str">
        <f>IF(OR(H11="",H9=""),"Daten fehlen!","Kapitaldienst ("&amp;TEXT(-H11,"# ##0,00")&amp;" €) &lt; Kapitaldienstgrenze ("&amp;TEXT(H9,"# ##0,00")&amp;" €)")</f>
        <v>Daten fehlen!</v>
      </c>
      <c r="U26" s="36"/>
      <c r="V26" s="139"/>
      <c r="W26" s="36"/>
      <c r="X26" s="36"/>
      <c r="Y26" s="36"/>
      <c r="Z26" s="36"/>
      <c r="AA26" s="36"/>
    </row>
    <row r="27" spans="1:27" ht="12.75" customHeight="1">
      <c r="A27" s="831"/>
      <c r="B27" s="130"/>
      <c r="C27" s="36"/>
      <c r="D27" s="36"/>
      <c r="E27" s="141"/>
      <c r="F27" s="1035" t="str">
        <f>IF(OR(H11="",H9=""),"Daten fehlen!","Der Vergleich dieser Werte bestätigt die oben getroffenen Aussagen. Der Kapitaldienst kann zwar abgeleistet werden. Für die Bildung von Rücklagen bzw. für eine privaten Vermögensbildung verbleiben jedoch keinerlei Reserven mehr.")</f>
        <v>Daten fehlen!</v>
      </c>
      <c r="G27" s="1035"/>
      <c r="H27" s="1035"/>
      <c r="I27" s="1035"/>
      <c r="J27" s="1035"/>
      <c r="K27" s="1035"/>
      <c r="L27" s="1035"/>
      <c r="M27" s="1035"/>
      <c r="N27" s="138"/>
      <c r="O27" s="135">
        <f>IF(AND(E27='[2]E-ErgInt'!E27,E30='[2]E-ErgInt'!E30,E33='[2]E-ErgInt'!E33),Q27,"")</f>
      </c>
      <c r="P27" s="3" t="s">
        <v>107</v>
      </c>
      <c r="Q27" s="1012">
        <v>1</v>
      </c>
      <c r="R27" s="3"/>
      <c r="S27" s="877" t="str">
        <f>IF(OR(S11="",S9=""),"Daten fehlen!","Kapitaldienst ("&amp;TEXT(-S11,"# ##0,00")&amp;" €) &gt; Kapitaldienstgrenze ("&amp;TEXT(S9,"# ##0,00")&amp;" €)")</f>
        <v>Kapitaldienst (452,00 €) &gt; Kapitaldienstgrenze (6 334,85 €)</v>
      </c>
      <c r="T27" s="848" t="str">
        <f>IF(OR(H11="",H9=""),"Daten fehlen!","Kapitaldienst ("&amp;TEXT(-H11,"# ##0,00")&amp;" €) &gt; Kapitaldienstgrenze ("&amp;TEXT(H9,"# ##0,00")&amp;" €)")</f>
        <v>Daten fehlen!</v>
      </c>
      <c r="U27" s="36"/>
      <c r="V27" s="36"/>
      <c r="W27" s="36"/>
      <c r="X27" s="36"/>
      <c r="Y27" s="36"/>
      <c r="Z27" s="36"/>
      <c r="AA27" s="36"/>
    </row>
    <row r="28" spans="1:27" ht="12.75" customHeight="1">
      <c r="A28" s="831"/>
      <c r="B28" s="130"/>
      <c r="C28" s="36"/>
      <c r="D28" s="36"/>
      <c r="E28" s="814"/>
      <c r="F28" s="1035"/>
      <c r="G28" s="1035"/>
      <c r="H28" s="1035"/>
      <c r="I28" s="1035"/>
      <c r="J28" s="1035"/>
      <c r="K28" s="1035"/>
      <c r="L28" s="1035"/>
      <c r="M28" s="1035"/>
      <c r="N28" s="138"/>
      <c r="O28" s="1012"/>
      <c r="P28" s="1012"/>
      <c r="Q28" s="1012"/>
      <c r="R28" s="3"/>
      <c r="S28" s="877" t="str">
        <f>IF(OR(S11="",S9=""),"Daten fehlen!","Kapitaldienst ("&amp;TEXT(-S11,"# ##0,00")&amp;" €) = Kapitaldienstgrenze ("&amp;TEXT(S9,"# ##0,00")&amp;" €)")</f>
        <v>Kapitaldienst (452,00 €) = Kapitaldienstgrenze (6 334,85 €)</v>
      </c>
      <c r="T28" s="848" t="str">
        <f>IF(OR(H11="",H9=""),"Daten fehlen!","Kapitaldienst ("&amp;TEXT(-H11,"# ##0,00")&amp;" €) = Kapitaldienstgrenze ("&amp;TEXT(H9,"# ##0,00")&amp;" €)")</f>
        <v>Daten fehlen!</v>
      </c>
      <c r="U28" s="36"/>
      <c r="V28" s="36"/>
      <c r="W28" s="36"/>
      <c r="X28" s="36"/>
      <c r="Y28" s="36"/>
      <c r="Z28" s="36"/>
      <c r="AA28" s="36"/>
    </row>
    <row r="29" spans="1:27" ht="12.75" customHeight="1">
      <c r="A29" s="831"/>
      <c r="B29" s="130"/>
      <c r="C29" s="36"/>
      <c r="D29" s="36"/>
      <c r="E29" s="814"/>
      <c r="F29" s="1035"/>
      <c r="G29" s="1035"/>
      <c r="H29" s="1035"/>
      <c r="I29" s="1035"/>
      <c r="J29" s="1035"/>
      <c r="K29" s="1035"/>
      <c r="L29" s="1035"/>
      <c r="M29" s="1035"/>
      <c r="N29" s="138"/>
      <c r="O29" s="1012"/>
      <c r="P29" s="1012"/>
      <c r="Q29" s="1012"/>
      <c r="R29" s="3"/>
      <c r="S29" s="877"/>
      <c r="T29" s="3"/>
      <c r="U29" s="137"/>
      <c r="V29" s="139"/>
      <c r="W29" s="36"/>
      <c r="X29" s="36"/>
      <c r="Y29" s="36"/>
      <c r="Z29" s="36"/>
      <c r="AA29" s="36"/>
    </row>
    <row r="30" spans="1:27" ht="12.75" customHeight="1">
      <c r="A30" s="831"/>
      <c r="B30" s="130"/>
      <c r="C30" s="36"/>
      <c r="D30" s="36"/>
      <c r="E30" s="141"/>
      <c r="F30" s="1035" t="str">
        <f>IF(OR(H11="",H9=""),"Daten fehlen!","Der Vergleich dieser Werte bestätigt die oben getroffenen Aussagen. Der Kapitaldienst kann ohne große Anstrengungen abgeleistet werden. Die verbleibenden Reserven können zur Bildung von Rücklagen und/oder zur privaten Vermögensbildung verwendet werden.")</f>
        <v>Daten fehlen!</v>
      </c>
      <c r="G30" s="1035"/>
      <c r="H30" s="1035"/>
      <c r="I30" s="1035"/>
      <c r="J30" s="1035"/>
      <c r="K30" s="1035"/>
      <c r="L30" s="1035"/>
      <c r="M30" s="1035"/>
      <c r="N30" s="138"/>
      <c r="O30" s="1012"/>
      <c r="P30" s="1012"/>
      <c r="Q30" s="1012"/>
      <c r="R30" s="3"/>
      <c r="S30" s="877"/>
      <c r="T30" s="3"/>
      <c r="U30" s="137"/>
      <c r="V30" s="139"/>
      <c r="W30" s="36"/>
      <c r="X30" s="36"/>
      <c r="Y30" s="36"/>
      <c r="Z30" s="36"/>
      <c r="AA30" s="36"/>
    </row>
    <row r="31" spans="1:27" ht="12.75" customHeight="1">
      <c r="A31" s="831"/>
      <c r="B31" s="130"/>
      <c r="C31" s="36"/>
      <c r="D31" s="36"/>
      <c r="E31" s="814"/>
      <c r="F31" s="1035"/>
      <c r="G31" s="1035"/>
      <c r="H31" s="1035"/>
      <c r="I31" s="1035"/>
      <c r="J31" s="1035"/>
      <c r="K31" s="1035"/>
      <c r="L31" s="1035"/>
      <c r="M31" s="1035"/>
      <c r="N31" s="138"/>
      <c r="O31" s="1012"/>
      <c r="P31" s="1012"/>
      <c r="Q31" s="1012"/>
      <c r="R31" s="3"/>
      <c r="S31" s="877"/>
      <c r="T31" s="3"/>
      <c r="U31" s="137"/>
      <c r="V31" s="139"/>
      <c r="W31" s="36"/>
      <c r="X31" s="36"/>
      <c r="Y31" s="36"/>
      <c r="Z31" s="36"/>
      <c r="AA31" s="36"/>
    </row>
    <row r="32" spans="1:27" ht="12.75" customHeight="1">
      <c r="A32" s="831"/>
      <c r="B32" s="130"/>
      <c r="C32" s="36"/>
      <c r="D32" s="36"/>
      <c r="E32" s="814"/>
      <c r="F32" s="1035"/>
      <c r="G32" s="1035"/>
      <c r="H32" s="1035"/>
      <c r="I32" s="1035"/>
      <c r="J32" s="1035"/>
      <c r="K32" s="1035"/>
      <c r="L32" s="1035"/>
      <c r="M32" s="1035"/>
      <c r="N32" s="138"/>
      <c r="O32" s="1012"/>
      <c r="P32" s="1012"/>
      <c r="Q32" s="1012"/>
      <c r="R32" s="3"/>
      <c r="S32" s="877"/>
      <c r="T32" s="3"/>
      <c r="U32" s="137"/>
      <c r="V32" s="139"/>
      <c r="W32" s="36"/>
      <c r="X32" s="36"/>
      <c r="Y32" s="36"/>
      <c r="Z32" s="36"/>
      <c r="AA32" s="36"/>
    </row>
    <row r="33" spans="1:27" ht="12.75" customHeight="1">
      <c r="A33" s="831"/>
      <c r="B33" s="130"/>
      <c r="C33" s="36"/>
      <c r="D33" s="36"/>
      <c r="E33" s="141"/>
      <c r="F33" s="1035" t="str">
        <f>IF(OR(H11="",H9=""),"Daten fehlen!","Der Vergleich dieser Werte bestätigt die oben getroffenen Aussagen. Weder Kapitaldienst noch Rücklagen- bzw. private Vermögensbildung sind möglich.")</f>
        <v>Daten fehlen!</v>
      </c>
      <c r="G33" s="1035"/>
      <c r="H33" s="1035"/>
      <c r="I33" s="1035"/>
      <c r="J33" s="1035"/>
      <c r="K33" s="1035"/>
      <c r="L33" s="1035"/>
      <c r="M33" s="1035"/>
      <c r="N33" s="138"/>
      <c r="O33" s="1012"/>
      <c r="P33" s="1012"/>
      <c r="Q33" s="1012"/>
      <c r="R33" s="3"/>
      <c r="S33" s="877"/>
      <c r="T33" s="3"/>
      <c r="U33" s="137"/>
      <c r="V33" s="139"/>
      <c r="W33" s="36"/>
      <c r="X33" s="36"/>
      <c r="Y33" s="36"/>
      <c r="Z33" s="36"/>
      <c r="AA33" s="36"/>
    </row>
    <row r="34" spans="1:27" ht="12.75" customHeight="1">
      <c r="A34" s="831"/>
      <c r="B34" s="130"/>
      <c r="C34" s="36"/>
      <c r="D34" s="36"/>
      <c r="E34" s="814"/>
      <c r="F34" s="1035"/>
      <c r="G34" s="1035"/>
      <c r="H34" s="1035"/>
      <c r="I34" s="1035"/>
      <c r="J34" s="1035"/>
      <c r="K34" s="1035"/>
      <c r="L34" s="1035"/>
      <c r="M34" s="1035"/>
      <c r="N34" s="138"/>
      <c r="O34" s="1012"/>
      <c r="P34" s="1012"/>
      <c r="Q34" s="1012"/>
      <c r="R34" s="3"/>
      <c r="S34" s="877"/>
      <c r="T34" s="3"/>
      <c r="U34" s="137"/>
      <c r="V34" s="139"/>
      <c r="W34" s="36"/>
      <c r="X34" s="36"/>
      <c r="Y34" s="36"/>
      <c r="Z34" s="36"/>
      <c r="AA34" s="36"/>
    </row>
    <row r="35" spans="1:27" ht="12.75">
      <c r="A35" s="831"/>
      <c r="B35" s="130"/>
      <c r="C35" s="36"/>
      <c r="D35" s="36"/>
      <c r="E35" s="36"/>
      <c r="F35" s="36"/>
      <c r="G35" s="36"/>
      <c r="H35" s="36"/>
      <c r="I35" s="36"/>
      <c r="J35" s="36"/>
      <c r="K35" s="36"/>
      <c r="L35" s="36"/>
      <c r="M35" s="36"/>
      <c r="N35" s="36"/>
      <c r="O35" s="131"/>
      <c r="P35" s="3"/>
      <c r="Q35" s="1012"/>
      <c r="R35" s="3"/>
      <c r="S35" s="877"/>
      <c r="T35" s="3"/>
      <c r="U35" s="36"/>
      <c r="V35" s="36"/>
      <c r="W35" s="36"/>
      <c r="X35" s="36"/>
      <c r="Y35" s="36"/>
      <c r="Z35" s="36"/>
      <c r="AA35" s="36"/>
    </row>
    <row r="36" spans="1:27" ht="12.75">
      <c r="A36" s="831"/>
      <c r="B36" s="130"/>
      <c r="C36" s="92" t="s">
        <v>115</v>
      </c>
      <c r="D36" s="92" t="s">
        <v>116</v>
      </c>
      <c r="E36" s="36"/>
      <c r="F36" s="36"/>
      <c r="G36" s="36"/>
      <c r="H36" s="36"/>
      <c r="I36" s="36"/>
      <c r="J36" s="36"/>
      <c r="K36" s="36"/>
      <c r="L36" s="36"/>
      <c r="M36" s="36"/>
      <c r="N36" s="36"/>
      <c r="O36" s="131"/>
      <c r="P36" s="3"/>
      <c r="Q36" s="1012"/>
      <c r="R36" s="3"/>
      <c r="S36" s="877"/>
      <c r="T36" s="3"/>
      <c r="U36" s="36"/>
      <c r="V36" s="36"/>
      <c r="W36" s="36"/>
      <c r="X36" s="36"/>
      <c r="Y36" s="36"/>
      <c r="Z36" s="36"/>
      <c r="AA36" s="36"/>
    </row>
    <row r="37" spans="1:27" ht="12.75">
      <c r="A37" s="831"/>
      <c r="B37" s="130"/>
      <c r="C37" s="36"/>
      <c r="D37" s="36" t="s">
        <v>117</v>
      </c>
      <c r="E37" s="36" t="s">
        <v>118</v>
      </c>
      <c r="F37" s="36"/>
      <c r="G37" s="36"/>
      <c r="H37" s="36"/>
      <c r="I37" s="36"/>
      <c r="J37" s="36"/>
      <c r="K37" s="36"/>
      <c r="L37" s="36"/>
      <c r="M37" s="36"/>
      <c r="N37" s="36"/>
      <c r="O37" s="131"/>
      <c r="P37" s="3"/>
      <c r="Q37" s="1012"/>
      <c r="R37" s="3"/>
      <c r="S37" s="877"/>
      <c r="T37" s="136" t="s">
        <v>119</v>
      </c>
      <c r="U37" s="36"/>
      <c r="V37" s="36"/>
      <c r="W37" s="36"/>
      <c r="X37" s="36"/>
      <c r="Y37" s="36"/>
      <c r="Z37" s="36"/>
      <c r="AA37" s="36"/>
    </row>
    <row r="38" spans="1:27" ht="12.75">
      <c r="A38" s="831"/>
      <c r="B38" s="130"/>
      <c r="C38" s="36"/>
      <c r="D38" s="36"/>
      <c r="E38" s="141"/>
      <c r="F38" s="36" t="s">
        <v>120</v>
      </c>
      <c r="G38" s="36"/>
      <c r="H38" s="36"/>
      <c r="I38" s="36"/>
      <c r="J38" s="36"/>
      <c r="K38" s="36"/>
      <c r="L38" s="36"/>
      <c r="M38" s="36"/>
      <c r="N38" s="36"/>
      <c r="O38" s="135">
        <f>IF(OR(AND(E38="",E40=""),AND(E38&lt;&gt;"",E40&lt;&gt;"",0)),"",IF(AND(E38='[2]E-ErgInt'!E38,E40='[2]E-ErgInt'!E40),Q38,0))</f>
      </c>
      <c r="P38" s="3" t="s">
        <v>107</v>
      </c>
      <c r="Q38" s="1012">
        <v>1</v>
      </c>
      <c r="R38" s="3"/>
      <c r="S38" s="877"/>
      <c r="T38" s="848" t="s">
        <v>11</v>
      </c>
      <c r="U38" s="849"/>
      <c r="V38" s="36"/>
      <c r="W38" s="36"/>
      <c r="X38" s="36"/>
      <c r="Y38" s="36"/>
      <c r="Z38" s="36"/>
      <c r="AA38" s="36"/>
    </row>
    <row r="39" spans="1:27" ht="3.75" customHeight="1">
      <c r="A39" s="831"/>
      <c r="B39" s="130"/>
      <c r="C39" s="36"/>
      <c r="D39" s="36"/>
      <c r="E39" s="36"/>
      <c r="F39" s="36"/>
      <c r="G39" s="36"/>
      <c r="H39" s="36"/>
      <c r="I39" s="36"/>
      <c r="J39" s="36"/>
      <c r="K39" s="36"/>
      <c r="L39" s="36"/>
      <c r="M39" s="36"/>
      <c r="N39" s="36"/>
      <c r="O39" s="131"/>
      <c r="P39" s="3"/>
      <c r="Q39" s="1012"/>
      <c r="R39" s="3"/>
      <c r="S39" s="877"/>
      <c r="T39" s="139"/>
      <c r="U39" s="36"/>
      <c r="V39" s="36"/>
      <c r="W39" s="36"/>
      <c r="X39" s="36"/>
      <c r="Y39" s="36"/>
      <c r="Z39" s="36"/>
      <c r="AA39" s="36"/>
    </row>
    <row r="40" spans="1:27" ht="12.75">
      <c r="A40" s="831"/>
      <c r="B40" s="130"/>
      <c r="C40" s="36"/>
      <c r="D40" s="36"/>
      <c r="E40" s="141"/>
      <c r="F40" s="36" t="s">
        <v>121</v>
      </c>
      <c r="G40" s="36"/>
      <c r="H40" s="36"/>
      <c r="I40" s="36"/>
      <c r="J40" s="36"/>
      <c r="K40" s="36"/>
      <c r="L40" s="36"/>
      <c r="M40" s="36"/>
      <c r="N40" s="36"/>
      <c r="O40" s="131"/>
      <c r="P40" s="3"/>
      <c r="Q40" s="1012"/>
      <c r="R40" s="3"/>
      <c r="S40" s="877"/>
      <c r="T40" s="139"/>
      <c r="U40" s="36"/>
      <c r="V40" s="36"/>
      <c r="W40" s="36"/>
      <c r="X40" s="36"/>
      <c r="Y40" s="36"/>
      <c r="Z40" s="36"/>
      <c r="AA40" s="36"/>
    </row>
    <row r="41" spans="1:27" ht="7.5" customHeight="1">
      <c r="A41" s="831"/>
      <c r="B41" s="130"/>
      <c r="C41" s="36"/>
      <c r="D41" s="36"/>
      <c r="E41" s="36"/>
      <c r="F41" s="36"/>
      <c r="G41" s="36"/>
      <c r="H41" s="36"/>
      <c r="I41" s="36"/>
      <c r="J41" s="36"/>
      <c r="K41" s="36"/>
      <c r="L41" s="36"/>
      <c r="M41" s="36"/>
      <c r="N41" s="36"/>
      <c r="O41" s="131"/>
      <c r="P41" s="3"/>
      <c r="Q41" s="1012"/>
      <c r="R41" s="3"/>
      <c r="S41" s="877"/>
      <c r="T41" s="3"/>
      <c r="U41" s="36"/>
      <c r="V41" s="36"/>
      <c r="W41" s="36"/>
      <c r="X41" s="36"/>
      <c r="Y41" s="36"/>
      <c r="Z41" s="36"/>
      <c r="AA41" s="36"/>
    </row>
    <row r="42" spans="1:27" ht="12.75">
      <c r="A42" s="831"/>
      <c r="B42" s="130"/>
      <c r="C42" s="36"/>
      <c r="D42" s="36"/>
      <c r="E42" s="36" t="s">
        <v>122</v>
      </c>
      <c r="F42" s="36"/>
      <c r="G42" s="36"/>
      <c r="H42" s="143"/>
      <c r="I42" s="846" t="s">
        <v>528</v>
      </c>
      <c r="J42" s="36"/>
      <c r="K42" s="144"/>
      <c r="L42" s="144"/>
      <c r="M42" s="36"/>
      <c r="N42" s="36"/>
      <c r="O42" s="135">
        <f>IF(H42="","",IF(S42=H42,Q42,0))</f>
      </c>
      <c r="P42" s="3" t="s">
        <v>107</v>
      </c>
      <c r="Q42" s="1012">
        <v>1</v>
      </c>
      <c r="R42" s="3"/>
      <c r="S42" s="1013">
        <f>IF(Korrektur!D160="","",Korrektur!D160)</f>
        <v>-1679.2735066666664</v>
      </c>
      <c r="T42" s="3"/>
      <c r="U42" s="36"/>
      <c r="V42" s="36"/>
      <c r="W42" s="36"/>
      <c r="X42" s="36"/>
      <c r="Y42" s="36"/>
      <c r="Z42" s="36"/>
      <c r="AA42" s="36"/>
    </row>
    <row r="43" spans="1:27" ht="3.75" customHeight="1">
      <c r="A43" s="831"/>
      <c r="B43" s="130"/>
      <c r="C43" s="36"/>
      <c r="D43" s="36"/>
      <c r="E43" s="36"/>
      <c r="F43" s="36"/>
      <c r="G43" s="36"/>
      <c r="H43" s="36"/>
      <c r="I43" s="150"/>
      <c r="J43" s="36"/>
      <c r="K43" s="144"/>
      <c r="L43" s="144"/>
      <c r="M43" s="36"/>
      <c r="N43" s="36"/>
      <c r="O43" s="131"/>
      <c r="P43" s="3"/>
      <c r="Q43" s="1012"/>
      <c r="R43" s="3"/>
      <c r="S43" s="877"/>
      <c r="T43" s="3"/>
      <c r="U43" s="36"/>
      <c r="V43" s="36"/>
      <c r="W43" s="36"/>
      <c r="X43" s="36"/>
      <c r="Y43" s="36"/>
      <c r="Z43" s="36"/>
      <c r="AA43" s="36"/>
    </row>
    <row r="44" spans="1:27" ht="12.75">
      <c r="A44" s="831"/>
      <c r="B44" s="130"/>
      <c r="C44" s="36"/>
      <c r="D44" s="36"/>
      <c r="E44" s="36" t="s">
        <v>123</v>
      </c>
      <c r="F44" s="36"/>
      <c r="G44" s="36"/>
      <c r="H44" s="143"/>
      <c r="I44" s="846" t="s">
        <v>528</v>
      </c>
      <c r="J44" s="36"/>
      <c r="K44" s="850" t="s">
        <v>533</v>
      </c>
      <c r="L44" s="144"/>
      <c r="M44" s="36"/>
      <c r="N44" s="36"/>
      <c r="O44" s="135">
        <f>IF(H44="","",IF(S44=H44,Q44,0))</f>
      </c>
      <c r="P44" s="3" t="s">
        <v>107</v>
      </c>
      <c r="Q44" s="1012">
        <v>1</v>
      </c>
      <c r="R44" s="3"/>
      <c r="S44" s="1013">
        <f>IF(Korrektur!D155="","",Korrektur!D155)</f>
        <v>-2851.3416174833947</v>
      </c>
      <c r="T44" s="3"/>
      <c r="U44" s="36"/>
      <c r="V44" s="36"/>
      <c r="W44" s="36"/>
      <c r="X44" s="36"/>
      <c r="Y44" s="36"/>
      <c r="Z44" s="36"/>
      <c r="AA44" s="36"/>
    </row>
    <row r="45" spans="1:27" ht="3.75" customHeight="1">
      <c r="A45" s="831"/>
      <c r="B45" s="130"/>
      <c r="C45" s="36"/>
      <c r="D45" s="36"/>
      <c r="E45" s="36"/>
      <c r="F45" s="36"/>
      <c r="G45" s="36"/>
      <c r="H45" s="145"/>
      <c r="I45" s="36"/>
      <c r="J45" s="36"/>
      <c r="K45" s="144"/>
      <c r="L45" s="144"/>
      <c r="M45" s="36"/>
      <c r="N45" s="36"/>
      <c r="O45" s="131"/>
      <c r="P45" s="3"/>
      <c r="Q45" s="1012"/>
      <c r="R45" s="3"/>
      <c r="S45" s="877"/>
      <c r="T45" s="3"/>
      <c r="U45" s="36"/>
      <c r="V45" s="36"/>
      <c r="W45" s="36"/>
      <c r="X45" s="36"/>
      <c r="Y45" s="36"/>
      <c r="Z45" s="36"/>
      <c r="AA45" s="36"/>
    </row>
    <row r="46" spans="1:27" ht="12.75">
      <c r="A46" s="831"/>
      <c r="B46" s="130"/>
      <c r="C46" s="36"/>
      <c r="D46" s="36"/>
      <c r="E46" s="146" t="s">
        <v>124</v>
      </c>
      <c r="F46" s="146"/>
      <c r="G46" s="147"/>
      <c r="H46" s="148"/>
      <c r="I46" s="36"/>
      <c r="J46" s="36"/>
      <c r="K46" s="144"/>
      <c r="L46" s="144"/>
      <c r="M46" s="36"/>
      <c r="N46" s="36"/>
      <c r="O46" s="135">
        <f>IF(H46="","",IF(S46=H46,Q46,0))</f>
      </c>
      <c r="P46" s="3" t="s">
        <v>107</v>
      </c>
      <c r="Q46" s="1012">
        <v>1</v>
      </c>
      <c r="R46" s="3"/>
      <c r="S46" s="1013">
        <f>IF(Korrektur!D163="","",Korrektur!D163)</f>
        <v>-4530.615124150061</v>
      </c>
      <c r="T46" s="3"/>
      <c r="U46" s="36"/>
      <c r="V46" s="36"/>
      <c r="W46" s="36"/>
      <c r="X46" s="36"/>
      <c r="Y46" s="36"/>
      <c r="Z46" s="36"/>
      <c r="AA46" s="36"/>
    </row>
    <row r="47" spans="1:27" ht="12.75">
      <c r="A47" s="831"/>
      <c r="B47" s="130"/>
      <c r="C47" s="36"/>
      <c r="D47" s="36"/>
      <c r="E47" s="144"/>
      <c r="F47" s="144"/>
      <c r="G47" s="144"/>
      <c r="H47" s="144"/>
      <c r="I47" s="144"/>
      <c r="J47" s="144"/>
      <c r="K47" s="144"/>
      <c r="L47" s="144"/>
      <c r="M47" s="36"/>
      <c r="N47" s="36"/>
      <c r="O47" s="131"/>
      <c r="P47" s="3"/>
      <c r="Q47" s="1012"/>
      <c r="R47" s="3"/>
      <c r="S47" s="877"/>
      <c r="T47" s="3"/>
      <c r="U47" s="36"/>
      <c r="V47" s="36"/>
      <c r="W47" s="36"/>
      <c r="X47" s="36"/>
      <c r="Y47" s="36"/>
      <c r="Z47" s="36"/>
      <c r="AA47" s="36"/>
    </row>
    <row r="48" spans="1:27" ht="12.75">
      <c r="A48" s="831"/>
      <c r="B48" s="130"/>
      <c r="C48" s="36"/>
      <c r="D48" s="36"/>
      <c r="E48" s="36" t="s">
        <v>125</v>
      </c>
      <c r="F48" s="36"/>
      <c r="G48" s="36"/>
      <c r="H48" s="36"/>
      <c r="I48" s="36"/>
      <c r="J48" s="36"/>
      <c r="K48" s="36"/>
      <c r="L48" s="36"/>
      <c r="M48" s="36"/>
      <c r="N48" s="36"/>
      <c r="O48" s="131"/>
      <c r="P48" s="3"/>
      <c r="Q48" s="1012"/>
      <c r="R48" s="3"/>
      <c r="S48" s="877"/>
      <c r="T48" s="3"/>
      <c r="U48" s="36"/>
      <c r="V48" s="36"/>
      <c r="W48" s="36"/>
      <c r="X48" s="36"/>
      <c r="Y48" s="36"/>
      <c r="Z48" s="36"/>
      <c r="AA48" s="36"/>
    </row>
    <row r="49" spans="1:27" ht="12.75" customHeight="1">
      <c r="A49" s="831"/>
      <c r="B49" s="130"/>
      <c r="C49" s="36"/>
      <c r="D49" s="36"/>
      <c r="E49" s="1040"/>
      <c r="F49" s="1041"/>
      <c r="G49" s="1041"/>
      <c r="H49" s="1041"/>
      <c r="I49" s="1041"/>
      <c r="J49" s="1041"/>
      <c r="K49" s="1041"/>
      <c r="L49" s="1041"/>
      <c r="M49" s="1042"/>
      <c r="N49" s="138"/>
      <c r="O49" s="135">
        <f>IF(E49="","",IF(S49=E49,Q49,0))</f>
      </c>
      <c r="P49" s="3" t="s">
        <v>107</v>
      </c>
      <c r="Q49" s="1012">
        <v>1</v>
      </c>
      <c r="R49" s="3"/>
      <c r="S49" s="1014" t="str">
        <f>IF(S42&gt;-S44,S51,IF(S42=-S44,S50,IF(S42&lt;-S44,S52,"")))</f>
        <v>Kapitalkosten (2 851,34 €) &gt; Leistung der Investition (-1 679,27 €)</v>
      </c>
      <c r="T49" s="136" t="s">
        <v>126</v>
      </c>
      <c r="U49" s="36" t="str">
        <f>IF('[2]E-ErgInt'!$E49="","",'[2]E-ErgInt'!$E49)</f>
        <v>Kapitalkosten (2 851,34 €) &gt; Leistung der Investition (-1 679,27 €)</v>
      </c>
      <c r="V49" s="36"/>
      <c r="W49" s="36"/>
      <c r="X49" s="36"/>
      <c r="Y49" s="36"/>
      <c r="Z49" s="36"/>
      <c r="AA49" s="36"/>
    </row>
    <row r="50" spans="1:27" ht="12.75" customHeight="1">
      <c r="A50" s="831"/>
      <c r="B50" s="130"/>
      <c r="C50" s="36"/>
      <c r="D50" s="36"/>
      <c r="E50" s="813" t="s">
        <v>524</v>
      </c>
      <c r="F50" s="220"/>
      <c r="G50" s="220"/>
      <c r="H50" s="220"/>
      <c r="I50" s="220"/>
      <c r="J50" s="220"/>
      <c r="K50" s="220"/>
      <c r="L50" s="220"/>
      <c r="M50" s="220"/>
      <c r="N50" s="138"/>
      <c r="O50" s="149"/>
      <c r="P50" s="3"/>
      <c r="Q50" s="3"/>
      <c r="R50" s="3"/>
      <c r="S50" s="877" t="str">
        <f>IF(OR(S44="",S42=""),"Daten fehlen!","Kapitalkosten ("&amp;TEXT(-S44,"# ##0,00")&amp;" €) = Leistung der Investition ("&amp;TEXT(S42,"# ##0,00")&amp;" €)")</f>
        <v>Kapitalkosten (2 851,34 €) = Leistung der Investition (-1 679,27 €)</v>
      </c>
      <c r="T50" s="848" t="str">
        <f>IF(OR(H44="",H42=""),"Daten fehlen!","Kapitalkosten ("&amp;TEXT(-H44,"# ##0,00")&amp;" €) = Leistung der Investition ("&amp;TEXT(H42,"# ##0,00")&amp;" €)")</f>
        <v>Daten fehlen!</v>
      </c>
      <c r="U50" s="36"/>
      <c r="V50" s="36"/>
      <c r="W50" s="36"/>
      <c r="X50" s="36"/>
      <c r="Y50" s="36"/>
      <c r="Z50" s="36"/>
      <c r="AA50" s="36"/>
    </row>
    <row r="51" spans="1:27" ht="12.75" customHeight="1">
      <c r="A51" s="831"/>
      <c r="B51" s="130"/>
      <c r="C51" s="36"/>
      <c r="D51" s="36"/>
      <c r="E51" s="141"/>
      <c r="F51" s="1035" t="str">
        <f>IF(OR(H44="",H42=""),"Daten fehlen!","Das Projekt ist nicht wirtschaftlich! Die Leistung der Investition ist zwar positiv. Sie kann aber die entstehenden Kosten abdecken!")</f>
        <v>Daten fehlen!</v>
      </c>
      <c r="G51" s="1035"/>
      <c r="H51" s="1035"/>
      <c r="I51" s="1035"/>
      <c r="J51" s="1035"/>
      <c r="K51" s="1035"/>
      <c r="L51" s="1035"/>
      <c r="M51" s="1035"/>
      <c r="N51" s="138"/>
      <c r="O51" s="135">
        <f>IF(AND(E51='[2]E-ErgInt'!E51,E53='[2]E-ErgInt'!E53,E55='[2]E-ErgInt'!E55,E57='[2]E-ErgInt'!E57),Q51,"")</f>
      </c>
      <c r="P51" s="3" t="s">
        <v>107</v>
      </c>
      <c r="Q51" s="1012">
        <v>1</v>
      </c>
      <c r="R51" s="3"/>
      <c r="S51" s="877" t="str">
        <f>IF(OR(S44="",S42=""),"Daten fehlen!","Kapitalkosten ("&amp;TEXT(-S44,"# ##0,00")&amp;" €) &lt; Leistung der Investition ("&amp;TEXT(S42,"# ##0,00")&amp;" €)")</f>
        <v>Kapitalkosten (2 851,34 €) &lt; Leistung der Investition (-1 679,27 €)</v>
      </c>
      <c r="T51" s="848" t="str">
        <f>IF(OR(H44="",H42=""),"Daten fehlen!","Kapitalkosten ("&amp;TEXT(-H44,"# ##0,00")&amp;" €) &lt; Leistung der Investition ("&amp;TEXT(H42,"# ##0,00")&amp;" €)")</f>
        <v>Daten fehlen!</v>
      </c>
      <c r="U51" s="36"/>
      <c r="V51" s="36"/>
      <c r="W51" s="36"/>
      <c r="X51" s="36"/>
      <c r="Y51" s="36"/>
      <c r="Z51" s="36"/>
      <c r="AA51" s="36"/>
    </row>
    <row r="52" spans="1:27" ht="12.75" customHeight="1">
      <c r="A52" s="831"/>
      <c r="B52" s="130"/>
      <c r="C52" s="36"/>
      <c r="D52" s="36"/>
      <c r="E52" s="814"/>
      <c r="F52" s="1035"/>
      <c r="G52" s="1035"/>
      <c r="H52" s="1035"/>
      <c r="I52" s="1035"/>
      <c r="J52" s="1035"/>
      <c r="K52" s="1035"/>
      <c r="L52" s="1035"/>
      <c r="M52" s="1035"/>
      <c r="N52" s="138"/>
      <c r="O52" s="131"/>
      <c r="P52" s="3"/>
      <c r="Q52" s="1012"/>
      <c r="R52" s="3"/>
      <c r="S52" s="877" t="str">
        <f>IF(OR(S44="",S42=""),"Daten fehlen!","Kapitalkosten ("&amp;TEXT(-S44,"# ##0,00")&amp;" €) &gt; Leistung der Investition ("&amp;TEXT(S42,"# ##0,00")&amp;" €)")</f>
        <v>Kapitalkosten (2 851,34 €) &gt; Leistung der Investition (-1 679,27 €)</v>
      </c>
      <c r="T52" s="848" t="str">
        <f>IF(OR(H44="",H42=""),"Daten fehlen!","Kapitalkosten ("&amp;TEXT(-H44,"# ##0,00")&amp;" €) &gt; Leistung der Investition ("&amp;TEXT(H42,"# ##0,00")&amp;" €)")</f>
        <v>Daten fehlen!</v>
      </c>
      <c r="U52" s="36"/>
      <c r="V52" s="36"/>
      <c r="W52" s="36"/>
      <c r="X52" s="36"/>
      <c r="Y52" s="36"/>
      <c r="Z52" s="36"/>
      <c r="AA52" s="36"/>
    </row>
    <row r="53" spans="1:27" ht="12.75" customHeight="1">
      <c r="A53" s="831"/>
      <c r="B53" s="130"/>
      <c r="C53" s="36"/>
      <c r="D53" s="36"/>
      <c r="E53" s="141"/>
      <c r="F53" s="1035" t="str">
        <f>IF(OR(H44="",H42=""),"Daten fehlen!","Die Leistung der Investition ist gleich hoch wie ihre Kosten. Da die Kosten mit der Annuitätenmethode etwas überbewertet werden, kann das Projekt durchaus als wirtschaftlich eingestuft werden!")</f>
        <v>Daten fehlen!</v>
      </c>
      <c r="G53" s="1035"/>
      <c r="H53" s="1035"/>
      <c r="I53" s="1035"/>
      <c r="J53" s="1035"/>
      <c r="K53" s="1035"/>
      <c r="L53" s="1035"/>
      <c r="M53" s="1035"/>
      <c r="N53" s="138"/>
      <c r="O53" s="131"/>
      <c r="P53" s="3"/>
      <c r="Q53" s="1012"/>
      <c r="R53" s="3"/>
      <c r="S53" s="877"/>
      <c r="T53" s="136"/>
      <c r="U53" s="36"/>
      <c r="V53" s="36"/>
      <c r="W53" s="36"/>
      <c r="X53" s="36"/>
      <c r="Y53" s="36"/>
      <c r="Z53" s="36"/>
      <c r="AA53" s="36"/>
    </row>
    <row r="54" spans="1:27" ht="12.75" customHeight="1">
      <c r="A54" s="831"/>
      <c r="B54" s="130"/>
      <c r="C54" s="36"/>
      <c r="D54" s="36"/>
      <c r="E54" s="814"/>
      <c r="F54" s="1035"/>
      <c r="G54" s="1035"/>
      <c r="H54" s="1035"/>
      <c r="I54" s="1035"/>
      <c r="J54" s="1035"/>
      <c r="K54" s="1035"/>
      <c r="L54" s="1035"/>
      <c r="M54" s="1035"/>
      <c r="N54" s="138"/>
      <c r="O54" s="131"/>
      <c r="P54" s="3"/>
      <c r="Q54" s="1012"/>
      <c r="R54" s="3"/>
      <c r="S54" s="877"/>
      <c r="T54" s="3"/>
      <c r="U54" s="36"/>
      <c r="V54" s="36"/>
      <c r="W54" s="36"/>
      <c r="X54" s="36"/>
      <c r="Y54" s="36"/>
      <c r="Z54" s="36"/>
      <c r="AA54" s="36"/>
    </row>
    <row r="55" spans="1:27" ht="12.75" customHeight="1">
      <c r="A55" s="831"/>
      <c r="B55" s="130"/>
      <c r="C55" s="36"/>
      <c r="D55" s="36"/>
      <c r="E55" s="141"/>
      <c r="F55" s="1035" t="str">
        <f>IF(OR(H44="",H42=""),"Daten fehlen!","Das Projekt ist nicht wirtschaftlich! Die Leistung des Projektes ist negativ. Das Einkommen sinkt also nach Umsetzung des Projektes. An die Abdeckung der entstehenden Kosten ist gar nicht zu denken!")</f>
        <v>Daten fehlen!</v>
      </c>
      <c r="G55" s="1035"/>
      <c r="H55" s="1035"/>
      <c r="I55" s="1035"/>
      <c r="J55" s="1035"/>
      <c r="K55" s="1035"/>
      <c r="L55" s="1035"/>
      <c r="M55" s="1035"/>
      <c r="N55" s="138"/>
      <c r="O55" s="131"/>
      <c r="P55" s="3"/>
      <c r="Q55" s="1012"/>
      <c r="R55" s="3"/>
      <c r="S55" s="877"/>
      <c r="T55" s="3"/>
      <c r="U55" s="36"/>
      <c r="V55" s="36"/>
      <c r="W55" s="36"/>
      <c r="X55" s="36"/>
      <c r="Y55" s="36"/>
      <c r="Z55" s="36"/>
      <c r="AA55" s="36"/>
    </row>
    <row r="56" spans="1:27" ht="12.75" customHeight="1">
      <c r="A56" s="831"/>
      <c r="B56" s="130"/>
      <c r="C56" s="36"/>
      <c r="D56" s="36"/>
      <c r="E56" s="814"/>
      <c r="F56" s="1035"/>
      <c r="G56" s="1035"/>
      <c r="H56" s="1035"/>
      <c r="I56" s="1035"/>
      <c r="J56" s="1035"/>
      <c r="K56" s="1035"/>
      <c r="L56" s="1035"/>
      <c r="M56" s="1035"/>
      <c r="N56" s="138"/>
      <c r="O56" s="131"/>
      <c r="P56" s="3"/>
      <c r="Q56" s="1012"/>
      <c r="R56" s="3"/>
      <c r="S56" s="877"/>
      <c r="T56" s="3"/>
      <c r="U56" s="36"/>
      <c r="V56" s="36"/>
      <c r="W56" s="36"/>
      <c r="X56" s="36"/>
      <c r="Y56" s="36"/>
      <c r="Z56" s="36"/>
      <c r="AA56" s="36"/>
    </row>
    <row r="57" spans="1:27" ht="12.75" customHeight="1">
      <c r="A57" s="831"/>
      <c r="B57" s="130"/>
      <c r="C57" s="36"/>
      <c r="D57" s="36"/>
      <c r="E57" s="141"/>
      <c r="F57" s="1035" t="str">
        <f>IF(OR(H44="",H42=""),"Daten fehlen!","Das Projekt ist wirtschaftlich! Die Leistung der Investition ist höher als deren Kosten.")</f>
        <v>Daten fehlen!</v>
      </c>
      <c r="G57" s="1035"/>
      <c r="H57" s="1035"/>
      <c r="I57" s="1035"/>
      <c r="J57" s="1035"/>
      <c r="K57" s="1035"/>
      <c r="L57" s="1035"/>
      <c r="M57" s="1035"/>
      <c r="N57" s="138"/>
      <c r="O57" s="131"/>
      <c r="P57" s="3"/>
      <c r="Q57" s="1012"/>
      <c r="R57" s="3"/>
      <c r="S57" s="877"/>
      <c r="T57" s="139"/>
      <c r="U57" s="36"/>
      <c r="V57" s="36"/>
      <c r="W57" s="36"/>
      <c r="X57" s="36"/>
      <c r="Y57" s="36"/>
      <c r="Z57" s="36"/>
      <c r="AA57" s="36"/>
    </row>
    <row r="58" spans="1:27" ht="12.75" customHeight="1">
      <c r="A58" s="831"/>
      <c r="B58" s="130"/>
      <c r="C58" s="36"/>
      <c r="D58" s="814"/>
      <c r="E58" s="814"/>
      <c r="F58" s="36"/>
      <c r="G58" s="814"/>
      <c r="H58" s="36"/>
      <c r="I58" s="814"/>
      <c r="J58" s="36"/>
      <c r="K58" s="814"/>
      <c r="L58" s="36"/>
      <c r="M58" s="814"/>
      <c r="N58" s="36"/>
      <c r="O58" s="131"/>
      <c r="P58" s="3"/>
      <c r="Q58" s="1012"/>
      <c r="R58" s="3"/>
      <c r="S58" s="877"/>
      <c r="T58" s="139"/>
      <c r="U58" s="36"/>
      <c r="V58" s="36"/>
      <c r="W58" s="36"/>
      <c r="X58" s="36"/>
      <c r="Y58" s="36"/>
      <c r="Z58" s="36"/>
      <c r="AA58" s="36"/>
    </row>
    <row r="59" spans="1:27" ht="12.75">
      <c r="A59" s="831"/>
      <c r="B59" s="130"/>
      <c r="C59" s="36"/>
      <c r="D59" s="36" t="s">
        <v>104</v>
      </c>
      <c r="E59" s="36" t="s">
        <v>127</v>
      </c>
      <c r="F59" s="36"/>
      <c r="G59" s="36"/>
      <c r="H59" s="36"/>
      <c r="I59" s="36"/>
      <c r="J59" s="36"/>
      <c r="K59" s="36"/>
      <c r="L59" s="36"/>
      <c r="M59" s="36"/>
      <c r="N59" s="36"/>
      <c r="O59" s="131"/>
      <c r="P59" s="3"/>
      <c r="Q59" s="1012"/>
      <c r="R59" s="3"/>
      <c r="S59" s="877"/>
      <c r="T59" s="3"/>
      <c r="U59" s="36"/>
      <c r="V59" s="36"/>
      <c r="W59" s="36"/>
      <c r="X59" s="36"/>
      <c r="Y59" s="36"/>
      <c r="Z59" s="36"/>
      <c r="AA59" s="36"/>
    </row>
    <row r="60" spans="1:27" ht="12.75">
      <c r="A60" s="831"/>
      <c r="B60" s="130"/>
      <c r="C60" s="36"/>
      <c r="D60" s="36"/>
      <c r="E60" s="141"/>
      <c r="F60" s="36" t="s">
        <v>120</v>
      </c>
      <c r="G60" s="36"/>
      <c r="H60" s="36"/>
      <c r="I60" s="36"/>
      <c r="J60" s="36"/>
      <c r="K60" s="36"/>
      <c r="L60" s="36"/>
      <c r="M60" s="36"/>
      <c r="N60" s="36"/>
      <c r="O60" s="135">
        <f>IF(OR(AND(E60="",E62=""),AND(E60&lt;&gt;"",E62&lt;&gt;"",0)),"",IF(AND(E60='[2]E-ErgInt'!E60,E62='[2]E-ErgInt'!E62),Q60,0))</f>
      </c>
      <c r="P60" s="3" t="s">
        <v>107</v>
      </c>
      <c r="Q60" s="1012">
        <v>1</v>
      </c>
      <c r="R60" s="3"/>
      <c r="S60" s="877"/>
      <c r="T60" s="3"/>
      <c r="U60" s="36"/>
      <c r="V60" s="36"/>
      <c r="W60" s="36"/>
      <c r="X60" s="36"/>
      <c r="Y60" s="36"/>
      <c r="Z60" s="36"/>
      <c r="AA60" s="36"/>
    </row>
    <row r="61" spans="1:27" ht="3.75" customHeight="1">
      <c r="A61" s="831"/>
      <c r="B61" s="130"/>
      <c r="C61" s="36"/>
      <c r="D61" s="36"/>
      <c r="E61" s="36"/>
      <c r="F61" s="36"/>
      <c r="G61" s="36"/>
      <c r="H61" s="36"/>
      <c r="I61" s="36"/>
      <c r="J61" s="36"/>
      <c r="K61" s="36"/>
      <c r="L61" s="36"/>
      <c r="M61" s="36"/>
      <c r="N61" s="36"/>
      <c r="O61" s="131"/>
      <c r="P61" s="3"/>
      <c r="Q61" s="1012"/>
      <c r="R61" s="3"/>
      <c r="S61" s="877"/>
      <c r="T61" s="3"/>
      <c r="U61" s="36"/>
      <c r="V61" s="36"/>
      <c r="W61" s="36"/>
      <c r="X61" s="36"/>
      <c r="Y61" s="36"/>
      <c r="Z61" s="36"/>
      <c r="AA61" s="36"/>
    </row>
    <row r="62" spans="1:27" ht="12.75">
      <c r="A62" s="831"/>
      <c r="B62" s="130"/>
      <c r="C62" s="36"/>
      <c r="D62" s="36"/>
      <c r="E62" s="141"/>
      <c r="F62" s="36" t="s">
        <v>121</v>
      </c>
      <c r="G62" s="36"/>
      <c r="H62" s="36"/>
      <c r="I62" s="36"/>
      <c r="J62" s="36"/>
      <c r="K62" s="36"/>
      <c r="L62" s="36"/>
      <c r="M62" s="36"/>
      <c r="N62" s="36"/>
      <c r="O62" s="149"/>
      <c r="P62" s="3"/>
      <c r="Q62" s="3"/>
      <c r="R62" s="3"/>
      <c r="S62" s="877"/>
      <c r="T62" s="3"/>
      <c r="U62" s="36"/>
      <c r="V62" s="36"/>
      <c r="W62" s="36"/>
      <c r="X62" s="36"/>
      <c r="Y62" s="36"/>
      <c r="Z62" s="36"/>
      <c r="AA62" s="36"/>
    </row>
    <row r="63" spans="1:27" ht="7.5" customHeight="1">
      <c r="A63" s="831"/>
      <c r="B63" s="130"/>
      <c r="C63" s="36"/>
      <c r="D63" s="36"/>
      <c r="E63" s="36"/>
      <c r="F63" s="36"/>
      <c r="G63" s="36"/>
      <c r="H63" s="36"/>
      <c r="I63" s="36"/>
      <c r="J63" s="36"/>
      <c r="K63" s="36"/>
      <c r="L63" s="36"/>
      <c r="M63" s="36"/>
      <c r="N63" s="36"/>
      <c r="O63" s="131"/>
      <c r="P63" s="3"/>
      <c r="Q63" s="1012"/>
      <c r="R63" s="3"/>
      <c r="S63" s="877"/>
      <c r="T63" s="3"/>
      <c r="U63" s="36"/>
      <c r="V63" s="36"/>
      <c r="W63" s="36"/>
      <c r="X63" s="36"/>
      <c r="Y63" s="36"/>
      <c r="Z63" s="36"/>
      <c r="AA63" s="36"/>
    </row>
    <row r="64" spans="1:27" ht="12.75">
      <c r="A64" s="831"/>
      <c r="B64" s="130"/>
      <c r="C64" s="36"/>
      <c r="D64" s="36"/>
      <c r="E64" s="36" t="s">
        <v>128</v>
      </c>
      <c r="F64" s="36"/>
      <c r="G64" s="36"/>
      <c r="H64" s="36"/>
      <c r="I64" s="36"/>
      <c r="J64" s="36"/>
      <c r="K64" s="143"/>
      <c r="L64" s="846" t="s">
        <v>528</v>
      </c>
      <c r="M64" s="36"/>
      <c r="N64" s="36"/>
      <c r="O64" s="135">
        <f>IF(K64="","",IF(S64=K64,Q64,0))</f>
      </c>
      <c r="P64" s="3" t="s">
        <v>107</v>
      </c>
      <c r="Q64" s="1012">
        <v>1</v>
      </c>
      <c r="R64" s="3"/>
      <c r="S64" s="1013">
        <f>IF(OR(Korrektur!D65="",Ist!I30="",Ist!I31="",Ist!I33="",Korrektur!D160=""),"",SUM(Korrektur!D65,Ist!I30,Ist!I31,Ist!I33,Korrektur!D160))</f>
        <v>4655.572163809526</v>
      </c>
      <c r="T64" s="3"/>
      <c r="U64" s="36"/>
      <c r="V64" s="36"/>
      <c r="W64" s="36"/>
      <c r="X64" s="36"/>
      <c r="Y64" s="36"/>
      <c r="Z64" s="36"/>
      <c r="AA64" s="36"/>
    </row>
    <row r="65" spans="1:27" ht="3.75" customHeight="1">
      <c r="A65" s="831"/>
      <c r="B65" s="130"/>
      <c r="C65" s="36"/>
      <c r="D65" s="36"/>
      <c r="E65" s="36"/>
      <c r="F65" s="36"/>
      <c r="G65" s="36"/>
      <c r="H65" s="36"/>
      <c r="I65" s="36"/>
      <c r="J65" s="36"/>
      <c r="K65" s="36"/>
      <c r="L65" s="36"/>
      <c r="M65" s="36"/>
      <c r="N65" s="36"/>
      <c r="O65" s="131"/>
      <c r="P65" s="3"/>
      <c r="Q65" s="1012"/>
      <c r="R65" s="3"/>
      <c r="S65" s="877"/>
      <c r="T65" s="3"/>
      <c r="U65" s="36"/>
      <c r="V65" s="36"/>
      <c r="W65" s="36"/>
      <c r="X65" s="36"/>
      <c r="Y65" s="36"/>
      <c r="Z65" s="36"/>
      <c r="AA65" s="36"/>
    </row>
    <row r="66" spans="1:27" ht="12.75">
      <c r="A66" s="831"/>
      <c r="B66" s="130"/>
      <c r="C66" s="36"/>
      <c r="D66" s="36"/>
      <c r="E66" s="36" t="s">
        <v>129</v>
      </c>
      <c r="F66" s="36"/>
      <c r="G66" s="36"/>
      <c r="H66" s="36"/>
      <c r="I66" s="36"/>
      <c r="J66" s="36"/>
      <c r="K66" s="143"/>
      <c r="L66" s="846" t="s">
        <v>528</v>
      </c>
      <c r="M66" s="36"/>
      <c r="N66" s="36"/>
      <c r="O66" s="135">
        <f>IF(K66="","",IF(S66=K66,Q66,0))</f>
      </c>
      <c r="P66" s="3" t="s">
        <v>107</v>
      </c>
      <c r="Q66" s="1012">
        <v>1</v>
      </c>
      <c r="R66" s="3"/>
      <c r="S66" s="1013">
        <f>SUM(IF(OR(Fin!D31="",Fin!F31="",Fin!C31=""),0,PMT(Fin!D31,Fin!F31,Fin!C31)),IF(OR(Fin!D32="",Fin!F32="",Fin!C32=""),0,PMT(Fin!D32,Fin!F32,Fin!C32)),IF(OR(Fin!D33="",Fin!F33="",Fin!C33=""),0,PMT(Fin!D33,Fin!F33,Fin!C33)),IF(OR(Fin!D34="",Fin!F34="",Fin!C34=""),0,PMT(Fin!D34,Fin!F34,Fin!C34)))</f>
        <v>-801.1273815520228</v>
      </c>
      <c r="T66" s="3"/>
      <c r="U66" s="36"/>
      <c r="V66" s="36"/>
      <c r="W66" s="36"/>
      <c r="X66" s="36"/>
      <c r="Y66" s="36"/>
      <c r="Z66" s="36"/>
      <c r="AA66" s="36"/>
    </row>
    <row r="67" spans="1:27" ht="7.5" customHeight="1">
      <c r="A67" s="831"/>
      <c r="B67" s="130"/>
      <c r="C67" s="36"/>
      <c r="D67" s="36"/>
      <c r="E67" s="36"/>
      <c r="F67" s="36"/>
      <c r="G67" s="36"/>
      <c r="H67" s="36"/>
      <c r="I67" s="36"/>
      <c r="J67" s="36"/>
      <c r="K67" s="36"/>
      <c r="L67" s="36"/>
      <c r="M67" s="36"/>
      <c r="N67" s="36"/>
      <c r="O67" s="131"/>
      <c r="P67" s="3"/>
      <c r="Q67" s="1012"/>
      <c r="R67" s="3"/>
      <c r="S67" s="877"/>
      <c r="T67" s="3"/>
      <c r="U67" s="36"/>
      <c r="V67" s="36"/>
      <c r="W67" s="36"/>
      <c r="X67" s="36"/>
      <c r="Y67" s="36"/>
      <c r="Z67" s="36"/>
      <c r="AA67" s="36"/>
    </row>
    <row r="68" spans="1:27" ht="12.75">
      <c r="A68" s="831"/>
      <c r="B68" s="130"/>
      <c r="C68" s="36"/>
      <c r="D68" s="36"/>
      <c r="E68" s="36" t="s">
        <v>125</v>
      </c>
      <c r="F68" s="36"/>
      <c r="G68" s="36"/>
      <c r="H68" s="36"/>
      <c r="I68" s="36"/>
      <c r="J68" s="36"/>
      <c r="K68" s="36"/>
      <c r="L68" s="36"/>
      <c r="M68" s="36"/>
      <c r="N68" s="36"/>
      <c r="O68" s="131"/>
      <c r="P68" s="3"/>
      <c r="Q68" s="1012"/>
      <c r="R68" s="3"/>
      <c r="S68" s="877"/>
      <c r="T68" s="3"/>
      <c r="U68" s="36"/>
      <c r="V68" s="36"/>
      <c r="W68" s="36"/>
      <c r="X68" s="36"/>
      <c r="Y68" s="36"/>
      <c r="Z68" s="36"/>
      <c r="AA68" s="36"/>
    </row>
    <row r="69" spans="1:27" ht="12.75" customHeight="1">
      <c r="A69" s="831"/>
      <c r="B69" s="130"/>
      <c r="C69" s="36"/>
      <c r="D69" s="36"/>
      <c r="E69" s="1040"/>
      <c r="F69" s="1041"/>
      <c r="G69" s="1041"/>
      <c r="H69" s="1041"/>
      <c r="I69" s="1041"/>
      <c r="J69" s="1041"/>
      <c r="K69" s="1041"/>
      <c r="L69" s="1041"/>
      <c r="M69" s="1042"/>
      <c r="N69" s="138"/>
      <c r="O69" s="135">
        <f>IF(E69="","",IF(S69=E69,Q69,0))</f>
      </c>
      <c r="P69" s="3" t="s">
        <v>107</v>
      </c>
      <c r="Q69" s="1012">
        <v>1</v>
      </c>
      <c r="R69" s="3"/>
      <c r="S69" s="1014" t="str">
        <f>IF(S64&lt;-S66,S70,IF(S64=-S66,S71,IF(S64&gt;-S66,S72,"")))</f>
        <v>Kapitaldienst für die Investition (801,13 €) &lt; Kapitaldienstgrenze Planvariante (4 655,57 €)</v>
      </c>
      <c r="T69" s="136" t="s">
        <v>130</v>
      </c>
      <c r="U69" s="36" t="str">
        <f>IF('[2]E-ErgInt'!$E69="","",'[2]E-ErgInt'!$E69)</f>
        <v>Kapitaldienst für die Investition (801,13 €) &lt; Kapitaldienstgrenze Planvariante (4 655,57 €)</v>
      </c>
      <c r="V69" s="36"/>
      <c r="W69" s="36"/>
      <c r="X69" s="36"/>
      <c r="Y69" s="36"/>
      <c r="Z69" s="36"/>
      <c r="AA69" s="36"/>
    </row>
    <row r="70" spans="1:27" ht="12.75" customHeight="1">
      <c r="A70" s="831"/>
      <c r="B70" s="130"/>
      <c r="C70" s="36"/>
      <c r="D70" s="36"/>
      <c r="E70" s="813" t="s">
        <v>524</v>
      </c>
      <c r="F70" s="220"/>
      <c r="G70" s="220"/>
      <c r="H70" s="220"/>
      <c r="I70" s="220"/>
      <c r="J70" s="220"/>
      <c r="K70" s="220"/>
      <c r="L70" s="220"/>
      <c r="M70" s="220"/>
      <c r="N70" s="138"/>
      <c r="O70" s="149"/>
      <c r="P70" s="3"/>
      <c r="Q70" s="3"/>
      <c r="R70" s="3"/>
      <c r="S70" s="877" t="str">
        <f>IF(OR(S66="",S64=""),"Daten fehlen!","Kapitaldienst für die Investition ("&amp;TEXT(-S66,"# ##0,00")&amp;" €) &gt; Kapitaldienstgrenze Planvariante ("&amp;TEXT(S64,"# ##0,00")&amp;" €)")</f>
        <v>Kapitaldienst für die Investition (801,13 €) &gt; Kapitaldienstgrenze Planvariante (4 655,57 €)</v>
      </c>
      <c r="T70" s="848" t="str">
        <f>IF(OR(K66="",K64=""),"Daten fehlen!","Kapitaldienst für die Investition ("&amp;TEXT(-K66,"# ##0,00")&amp;" €) &gt; Kapitaldienstgrenze Planvariante ("&amp;TEXT(K64,"# ##0,00")&amp;" €)")</f>
        <v>Daten fehlen!</v>
      </c>
      <c r="U70" s="36"/>
      <c r="V70" s="36"/>
      <c r="W70" s="36"/>
      <c r="X70" s="36"/>
      <c r="Y70" s="36"/>
      <c r="Z70" s="36"/>
      <c r="AA70" s="36"/>
    </row>
    <row r="71" spans="1:27" ht="12.75" customHeight="1">
      <c r="A71" s="831"/>
      <c r="B71" s="130"/>
      <c r="C71" s="36"/>
      <c r="D71" s="36"/>
      <c r="E71" s="141"/>
      <c r="F71" s="1051" t="str">
        <f>IF(OR(K66="",K64=""),"Daten fehlen!","Bei Umsetzung des geplanten Projektes würde sich der Betrieb finanziell übernehmen. Die Schulden können vermutlich nicht rechtzeitig zurückbezahlt werden! ACHTUNG: Existenzgefahr für den Betrieb!")</f>
        <v>Daten fehlen!</v>
      </c>
      <c r="G71" s="1051"/>
      <c r="H71" s="1051"/>
      <c r="I71" s="1051"/>
      <c r="J71" s="1051"/>
      <c r="K71" s="1051"/>
      <c r="L71" s="1051"/>
      <c r="M71" s="1051"/>
      <c r="N71" s="138"/>
      <c r="O71" s="135">
        <f>IF(AND(E71='[2]E-ErgInt'!E71,E73='[2]E-ErgInt'!E73,E76='[2]E-ErgInt'!E76),Q71,"")</f>
      </c>
      <c r="P71" s="3" t="s">
        <v>107</v>
      </c>
      <c r="Q71" s="1012">
        <v>1</v>
      </c>
      <c r="R71" s="3"/>
      <c r="S71" s="877" t="str">
        <f>IF(OR(S66="",S64=""),"Daten fehlen!","Kapitaldienst für die Investition ("&amp;TEXT(-S66,"# ##0,00")&amp;" €) = Kapitaldienstgrenze Planvariante ("&amp;TEXT(S64,"# ##0,00")&amp;" €)")</f>
        <v>Kapitaldienst für die Investition (801,13 €) = Kapitaldienstgrenze Planvariante (4 655,57 €)</v>
      </c>
      <c r="T71" s="848" t="str">
        <f>IF(OR(K66="",K64=""),"Daten fehlen!","Kapitaldienst für die Investition ("&amp;TEXT(-K66,"# ##0,00")&amp;" €) = Kapitaldienstgrenze Planvariante ("&amp;TEXT(K64,"# ##0,00")&amp;" €)")</f>
        <v>Daten fehlen!</v>
      </c>
      <c r="U71" s="36"/>
      <c r="V71" s="36"/>
      <c r="W71" s="36"/>
      <c r="X71" s="36"/>
      <c r="Y71" s="36"/>
      <c r="Z71" s="36"/>
      <c r="AA71" s="36"/>
    </row>
    <row r="72" spans="1:27" ht="12.75" customHeight="1">
      <c r="A72" s="831"/>
      <c r="B72" s="130"/>
      <c r="C72" s="36"/>
      <c r="D72" s="36"/>
      <c r="E72" s="814"/>
      <c r="F72" s="1051"/>
      <c r="G72" s="1051"/>
      <c r="H72" s="1051"/>
      <c r="I72" s="1051"/>
      <c r="J72" s="1051"/>
      <c r="K72" s="1051"/>
      <c r="L72" s="1051"/>
      <c r="M72" s="1051"/>
      <c r="N72" s="138"/>
      <c r="O72" s="131"/>
      <c r="P72" s="3"/>
      <c r="Q72" s="1012"/>
      <c r="R72" s="3"/>
      <c r="S72" s="877" t="str">
        <f>IF(OR(S66="",S64=""),"Daten fehlen!","Kapitaldienst für die Investition ("&amp;TEXT(-S66,"# ##0,00")&amp;" €) &lt; Kapitaldienstgrenze Planvariante ("&amp;TEXT(S64,"# ##0,00")&amp;" €)")</f>
        <v>Kapitaldienst für die Investition (801,13 €) &lt; Kapitaldienstgrenze Planvariante (4 655,57 €)</v>
      </c>
      <c r="T72" s="848" t="str">
        <f>IF(OR(K66="",K64=""),"Daten fehlen!","Kapitaldienst für die Investition ("&amp;TEXT(-K66,"# ##0,00")&amp;" €) &lt; Kapitaldienstgrenze Planvariante ("&amp;TEXT(K64,"# ##0,00")&amp;" €)")</f>
        <v>Daten fehlen!</v>
      </c>
      <c r="U72" s="36"/>
      <c r="V72" s="36"/>
      <c r="W72" s="36"/>
      <c r="X72" s="36"/>
      <c r="Y72" s="36"/>
      <c r="Z72" s="36"/>
      <c r="AA72" s="36"/>
    </row>
    <row r="73" spans="1:27" ht="12.75" customHeight="1">
      <c r="A73" s="831"/>
      <c r="B73" s="130"/>
      <c r="C73" s="36"/>
      <c r="D73" s="36"/>
      <c r="E73" s="141"/>
      <c r="F73" s="1035" t="str">
        <f>IF(OR(K66="",K64=""),"Daten fehlen!","Die Ausführung des Projektes kann gerade noch finanziert werden. Es verbleiben jedoch kein Spielraum für die Bildung betrieblicher Rücklagen oder für unerwartete Folge- bzw. Ersatzinvestitionen! Das Projekt reicht an die Grenzen der Belastbarkeit!")</f>
        <v>Daten fehlen!</v>
      </c>
      <c r="G73" s="1035"/>
      <c r="H73" s="1035"/>
      <c r="I73" s="1035"/>
      <c r="J73" s="1035"/>
      <c r="K73" s="1035"/>
      <c r="L73" s="1035"/>
      <c r="M73" s="1035"/>
      <c r="N73" s="138"/>
      <c r="O73" s="131"/>
      <c r="P73" s="3"/>
      <c r="Q73" s="1012"/>
      <c r="R73" s="3"/>
      <c r="S73" s="877"/>
      <c r="T73" s="139"/>
      <c r="U73" s="36"/>
      <c r="V73" s="36"/>
      <c r="W73" s="36"/>
      <c r="X73" s="36"/>
      <c r="Y73" s="36"/>
      <c r="Z73" s="36"/>
      <c r="AA73" s="36"/>
    </row>
    <row r="74" spans="1:27" ht="12.75" customHeight="1">
      <c r="A74" s="831"/>
      <c r="B74" s="130"/>
      <c r="C74" s="36"/>
      <c r="D74" s="36"/>
      <c r="E74" s="814"/>
      <c r="F74" s="1035"/>
      <c r="G74" s="1035"/>
      <c r="H74" s="1035"/>
      <c r="I74" s="1035"/>
      <c r="J74" s="1035"/>
      <c r="K74" s="1035"/>
      <c r="L74" s="1035"/>
      <c r="M74" s="1035"/>
      <c r="N74" s="138"/>
      <c r="O74" s="131"/>
      <c r="P74" s="3"/>
      <c r="Q74" s="1012"/>
      <c r="R74" s="3"/>
      <c r="S74" s="877"/>
      <c r="T74" s="139"/>
      <c r="U74" s="36"/>
      <c r="V74" s="36"/>
      <c r="W74" s="36"/>
      <c r="X74" s="36"/>
      <c r="Y74" s="36"/>
      <c r="Z74" s="36"/>
      <c r="AA74" s="36"/>
    </row>
    <row r="75" spans="1:27" ht="12.75" customHeight="1">
      <c r="A75" s="831"/>
      <c r="B75" s="130"/>
      <c r="C75" s="36"/>
      <c r="D75" s="36"/>
      <c r="E75" s="814"/>
      <c r="F75" s="1035"/>
      <c r="G75" s="1035"/>
      <c r="H75" s="1035"/>
      <c r="I75" s="1035"/>
      <c r="J75" s="1035"/>
      <c r="K75" s="1035"/>
      <c r="L75" s="1035"/>
      <c r="M75" s="1035"/>
      <c r="N75" s="138"/>
      <c r="O75" s="131"/>
      <c r="P75" s="3"/>
      <c r="Q75" s="1012"/>
      <c r="R75" s="3"/>
      <c r="S75" s="877"/>
      <c r="T75" s="139"/>
      <c r="U75" s="36"/>
      <c r="V75" s="36"/>
      <c r="W75" s="36"/>
      <c r="X75" s="36"/>
      <c r="Y75" s="36"/>
      <c r="Z75" s="36"/>
      <c r="AA75" s="36"/>
    </row>
    <row r="76" spans="1:27" ht="12.75" customHeight="1">
      <c r="A76" s="831"/>
      <c r="B76" s="130"/>
      <c r="C76" s="36"/>
      <c r="D76" s="36"/>
      <c r="E76" s="141"/>
      <c r="F76" s="1035" t="str">
        <f>IF(OR(K66="",K64=""),"Daten fehlen!","Die Umsetzung des Projektes kann als sinnvoll eingestuft werden. Der anfallende Kapitaldienst sollte ohne Schwierigkeiten zu leisten sein! Es verbleiben noch Reserven für Rücklagen- und private Vermögensbildung.")</f>
        <v>Daten fehlen!</v>
      </c>
      <c r="G76" s="1035"/>
      <c r="H76" s="1035"/>
      <c r="I76" s="1035"/>
      <c r="J76" s="1035"/>
      <c r="K76" s="1035"/>
      <c r="L76" s="1035"/>
      <c r="M76" s="1035"/>
      <c r="N76" s="138"/>
      <c r="O76" s="131"/>
      <c r="P76" s="3"/>
      <c r="Q76" s="1012"/>
      <c r="R76" s="3"/>
      <c r="S76" s="877"/>
      <c r="T76" s="139"/>
      <c r="U76" s="36"/>
      <c r="V76" s="36"/>
      <c r="W76" s="36"/>
      <c r="X76" s="36"/>
      <c r="Y76" s="36"/>
      <c r="Z76" s="36"/>
      <c r="AA76" s="36"/>
    </row>
    <row r="77" spans="1:27" ht="12.75" customHeight="1">
      <c r="A77" s="831"/>
      <c r="B77" s="130"/>
      <c r="C77" s="36"/>
      <c r="D77" s="36"/>
      <c r="E77" s="814"/>
      <c r="F77" s="1035"/>
      <c r="G77" s="1035"/>
      <c r="H77" s="1035"/>
      <c r="I77" s="1035"/>
      <c r="J77" s="1035"/>
      <c r="K77" s="1035"/>
      <c r="L77" s="1035"/>
      <c r="M77" s="1035"/>
      <c r="N77" s="138"/>
      <c r="O77" s="131"/>
      <c r="P77" s="3"/>
      <c r="Q77" s="1012"/>
      <c r="R77" s="3"/>
      <c r="S77" s="877"/>
      <c r="T77" s="139"/>
      <c r="U77" s="36"/>
      <c r="V77" s="36"/>
      <c r="W77" s="36"/>
      <c r="X77" s="36"/>
      <c r="Y77" s="36"/>
      <c r="Z77" s="36"/>
      <c r="AA77" s="36"/>
    </row>
    <row r="78" spans="1:27" ht="12.75" customHeight="1">
      <c r="A78" s="831"/>
      <c r="B78" s="130"/>
      <c r="C78" s="36"/>
      <c r="D78" s="36"/>
      <c r="E78" s="814"/>
      <c r="F78" s="1035"/>
      <c r="G78" s="1035"/>
      <c r="H78" s="1035"/>
      <c r="I78" s="1035"/>
      <c r="J78" s="1035"/>
      <c r="K78" s="1035"/>
      <c r="L78" s="1035"/>
      <c r="M78" s="1035"/>
      <c r="N78" s="138"/>
      <c r="O78" s="131"/>
      <c r="P78" s="3"/>
      <c r="Q78" s="1012"/>
      <c r="R78" s="3"/>
      <c r="S78" s="877"/>
      <c r="T78" s="139"/>
      <c r="U78" s="36"/>
      <c r="V78" s="36"/>
      <c r="W78" s="36"/>
      <c r="X78" s="36"/>
      <c r="Y78" s="36"/>
      <c r="Z78" s="36"/>
      <c r="AA78" s="36"/>
    </row>
    <row r="79" spans="1:27" ht="12.75">
      <c r="A79" s="831"/>
      <c r="B79" s="130"/>
      <c r="C79" s="36"/>
      <c r="D79" s="36"/>
      <c r="E79" s="36"/>
      <c r="F79" s="36"/>
      <c r="G79" s="36"/>
      <c r="H79" s="36"/>
      <c r="I79" s="36"/>
      <c r="J79" s="36"/>
      <c r="K79" s="36"/>
      <c r="L79" s="36"/>
      <c r="M79" s="36"/>
      <c r="N79" s="36"/>
      <c r="O79" s="149"/>
      <c r="P79" s="3"/>
      <c r="Q79" s="3"/>
      <c r="R79" s="3"/>
      <c r="S79" s="877"/>
      <c r="T79" s="3"/>
      <c r="U79" s="36"/>
      <c r="V79" s="36"/>
      <c r="W79" s="36"/>
      <c r="X79" s="36"/>
      <c r="Y79" s="36"/>
      <c r="Z79" s="36"/>
      <c r="AA79" s="36"/>
    </row>
    <row r="80" spans="1:27" ht="39.75" customHeight="1">
      <c r="A80" s="831"/>
      <c r="B80" s="130"/>
      <c r="C80" s="36"/>
      <c r="D80" s="150" t="s">
        <v>111</v>
      </c>
      <c r="E80" s="1039" t="s">
        <v>525</v>
      </c>
      <c r="F80" s="1039"/>
      <c r="G80" s="1039"/>
      <c r="H80" s="1039"/>
      <c r="I80" s="1039"/>
      <c r="J80" s="1039"/>
      <c r="K80" s="1039"/>
      <c r="L80" s="1039"/>
      <c r="M80" s="1039"/>
      <c r="N80" s="36"/>
      <c r="O80" s="131"/>
      <c r="P80" s="3"/>
      <c r="Q80" s="1012"/>
      <c r="R80" s="3"/>
      <c r="S80" s="877"/>
      <c r="T80" s="3"/>
      <c r="U80" s="36"/>
      <c r="V80" s="36"/>
      <c r="W80" s="36"/>
      <c r="X80" s="36"/>
      <c r="Y80" s="36"/>
      <c r="Z80" s="36"/>
      <c r="AA80" s="36"/>
    </row>
    <row r="81" spans="1:27" ht="12.75">
      <c r="A81" s="831"/>
      <c r="B81" s="130"/>
      <c r="C81" s="36"/>
      <c r="D81" s="36"/>
      <c r="E81" s="141"/>
      <c r="F81" s="36" t="s">
        <v>120</v>
      </c>
      <c r="G81" s="36"/>
      <c r="H81" s="36"/>
      <c r="I81" s="36"/>
      <c r="J81" s="36"/>
      <c r="K81" s="36"/>
      <c r="L81" s="36"/>
      <c r="M81" s="152"/>
      <c r="N81" s="36"/>
      <c r="O81" s="135">
        <f>IF(OR(AND(E81="",E83=""),AND(E81&lt;&gt;"",E83&lt;&gt;"",0)),"",IF(AND(E81='[2]E-ErgInt'!E81,E83='[2]E-ErgInt'!E83),Q81,0))</f>
      </c>
      <c r="P81" s="3" t="s">
        <v>107</v>
      </c>
      <c r="Q81" s="1012">
        <v>1</v>
      </c>
      <c r="R81" s="3"/>
      <c r="S81" s="1013"/>
      <c r="T81" s="3"/>
      <c r="U81" s="36"/>
      <c r="V81" s="36"/>
      <c r="W81" s="36"/>
      <c r="X81" s="36"/>
      <c r="Y81" s="36"/>
      <c r="Z81" s="36"/>
      <c r="AA81" s="36"/>
    </row>
    <row r="82" spans="1:27" ht="3.75" customHeight="1">
      <c r="A82" s="831"/>
      <c r="B82" s="130"/>
      <c r="C82" s="36"/>
      <c r="D82" s="36"/>
      <c r="E82" s="36"/>
      <c r="F82" s="36"/>
      <c r="G82" s="153"/>
      <c r="H82" s="36"/>
      <c r="I82" s="36"/>
      <c r="J82" s="36"/>
      <c r="K82" s="153"/>
      <c r="L82" s="36"/>
      <c r="M82" s="152"/>
      <c r="N82" s="36"/>
      <c r="O82" s="131"/>
      <c r="P82" s="3"/>
      <c r="Q82" s="1012"/>
      <c r="R82" s="3"/>
      <c r="S82" s="877"/>
      <c r="T82" s="3"/>
      <c r="U82" s="36"/>
      <c r="V82" s="36"/>
      <c r="W82" s="36"/>
      <c r="X82" s="36"/>
      <c r="Y82" s="36"/>
      <c r="Z82" s="36"/>
      <c r="AA82" s="36"/>
    </row>
    <row r="83" spans="1:27" ht="12.75">
      <c r="A83" s="831"/>
      <c r="B83" s="130"/>
      <c r="C83" s="36"/>
      <c r="D83" s="36"/>
      <c r="E83" s="141"/>
      <c r="F83" s="36" t="s">
        <v>121</v>
      </c>
      <c r="G83" s="153"/>
      <c r="H83" s="151"/>
      <c r="I83" s="846" t="s">
        <v>528</v>
      </c>
      <c r="J83" s="36"/>
      <c r="K83" s="152" t="s">
        <v>131</v>
      </c>
      <c r="L83" s="36"/>
      <c r="M83" s="152"/>
      <c r="N83" s="36"/>
      <c r="O83" s="135">
        <f>IF(H83="","",IF(S83=H83,Q83,0))</f>
      </c>
      <c r="P83" s="3" t="s">
        <v>107</v>
      </c>
      <c r="Q83" s="1012">
        <v>1</v>
      </c>
      <c r="R83" s="3"/>
      <c r="S83" s="1013">
        <f>IF(Korrektur!D131="","",Korrektur!D131)</f>
        <v>1046.3700000000001</v>
      </c>
      <c r="T83" s="3"/>
      <c r="U83" s="36"/>
      <c r="V83" s="36"/>
      <c r="W83" s="36"/>
      <c r="X83" s="36"/>
      <c r="Y83" s="36"/>
      <c r="Z83" s="36"/>
      <c r="AA83" s="36"/>
    </row>
    <row r="84" spans="1:27" ht="7.5" customHeight="1">
      <c r="A84" s="831"/>
      <c r="B84" s="130"/>
      <c r="C84" s="36"/>
      <c r="D84" s="36"/>
      <c r="E84" s="36"/>
      <c r="F84" s="36"/>
      <c r="G84" s="36"/>
      <c r="H84" s="36"/>
      <c r="I84" s="36"/>
      <c r="J84" s="36"/>
      <c r="K84" s="36"/>
      <c r="L84" s="36"/>
      <c r="M84" s="36"/>
      <c r="N84" s="36"/>
      <c r="O84" s="149"/>
      <c r="P84" s="3"/>
      <c r="Q84" s="3"/>
      <c r="R84" s="3"/>
      <c r="S84" s="877"/>
      <c r="T84" s="3"/>
      <c r="U84" s="36"/>
      <c r="V84" s="36"/>
      <c r="W84" s="36"/>
      <c r="X84" s="36"/>
      <c r="Y84" s="36"/>
      <c r="Z84" s="36"/>
      <c r="AA84" s="36"/>
    </row>
    <row r="85" spans="1:27" ht="12.75">
      <c r="A85" s="831"/>
      <c r="B85" s="130"/>
      <c r="C85" s="36"/>
      <c r="D85" s="36"/>
      <c r="E85" s="154" t="s">
        <v>132</v>
      </c>
      <c r="F85" s="36"/>
      <c r="G85" s="36"/>
      <c r="H85" s="151"/>
      <c r="I85" s="843"/>
      <c r="J85" s="36"/>
      <c r="K85" s="36" t="s">
        <v>529</v>
      </c>
      <c r="L85" s="36"/>
      <c r="M85" s="36"/>
      <c r="N85" s="36"/>
      <c r="O85" s="135">
        <f>IF(H85="","",IF(S85=H85,Q85,0))</f>
      </c>
      <c r="P85" s="3" t="s">
        <v>107</v>
      </c>
      <c r="Q85" s="1012">
        <v>1</v>
      </c>
      <c r="R85" s="1015"/>
      <c r="S85" s="1013">
        <f>IF('[2]E-ErgInt'!H85="","",'[2]E-ErgInt'!H85)</f>
        <v>1</v>
      </c>
      <c r="T85" s="3"/>
      <c r="U85" s="36"/>
      <c r="V85" s="36"/>
      <c r="W85" s="36"/>
      <c r="X85" s="36"/>
      <c r="Y85" s="36"/>
      <c r="Z85" s="36"/>
      <c r="AA85" s="36"/>
    </row>
    <row r="86" spans="1:27" ht="3.75" customHeight="1">
      <c r="A86" s="831"/>
      <c r="B86" s="130"/>
      <c r="C86" s="36"/>
      <c r="D86" s="36"/>
      <c r="E86" s="36"/>
      <c r="F86" s="36"/>
      <c r="G86" s="36"/>
      <c r="H86" s="36"/>
      <c r="I86" s="36"/>
      <c r="J86" s="36"/>
      <c r="K86" s="36"/>
      <c r="L86" s="36"/>
      <c r="M86" s="36"/>
      <c r="N86" s="36"/>
      <c r="O86" s="131"/>
      <c r="P86" s="155"/>
      <c r="Q86" s="3"/>
      <c r="R86" s="1015"/>
      <c r="S86" s="877"/>
      <c r="T86" s="3"/>
      <c r="U86" s="36"/>
      <c r="V86" s="36"/>
      <c r="W86" s="36"/>
      <c r="X86" s="36"/>
      <c r="Y86" s="36"/>
      <c r="Z86" s="36"/>
      <c r="AA86" s="36"/>
    </row>
    <row r="87" spans="1:27" ht="12.75">
      <c r="A87" s="831"/>
      <c r="B87" s="130"/>
      <c r="C87" s="36"/>
      <c r="D87" s="36"/>
      <c r="E87" s="36" t="s">
        <v>133</v>
      </c>
      <c r="F87" s="36"/>
      <c r="G87" s="36"/>
      <c r="H87" s="151"/>
      <c r="I87" s="843"/>
      <c r="J87" s="36"/>
      <c r="K87" s="36" t="s">
        <v>530</v>
      </c>
      <c r="L87" s="36"/>
      <c r="M87" s="36"/>
      <c r="N87" s="36"/>
      <c r="O87" s="135">
        <f>IF(H87="","",IF(S87=H87,Q87,0))</f>
      </c>
      <c r="P87" s="3" t="s">
        <v>107</v>
      </c>
      <c r="Q87" s="1012">
        <v>1</v>
      </c>
      <c r="R87" s="1015"/>
      <c r="S87" s="1013">
        <f>S85*2000</f>
        <v>2000</v>
      </c>
      <c r="T87" s="3"/>
      <c r="U87" s="36"/>
      <c r="V87" s="36"/>
      <c r="W87" s="36"/>
      <c r="X87" s="36"/>
      <c r="Y87" s="36"/>
      <c r="Z87" s="36"/>
      <c r="AA87" s="36"/>
    </row>
    <row r="88" spans="1:27" ht="7.5" customHeight="1">
      <c r="A88" s="831"/>
      <c r="B88" s="130"/>
      <c r="C88" s="36"/>
      <c r="D88" s="36"/>
      <c r="E88" s="36"/>
      <c r="F88" s="36"/>
      <c r="G88" s="36"/>
      <c r="H88" s="145"/>
      <c r="I88" s="36"/>
      <c r="J88" s="36"/>
      <c r="K88" s="36"/>
      <c r="L88" s="36"/>
      <c r="M88" s="36"/>
      <c r="N88" s="36"/>
      <c r="O88" s="131"/>
      <c r="P88" s="155"/>
      <c r="Q88" s="3"/>
      <c r="R88" s="1015"/>
      <c r="S88" s="877"/>
      <c r="T88" s="3"/>
      <c r="U88" s="36"/>
      <c r="V88" s="36"/>
      <c r="W88" s="36"/>
      <c r="X88" s="36"/>
      <c r="Y88" s="36"/>
      <c r="Z88" s="36"/>
      <c r="AA88" s="36"/>
    </row>
    <row r="89" spans="1:27" ht="12.75">
      <c r="A89" s="831"/>
      <c r="B89" s="130"/>
      <c r="C89" s="36"/>
      <c r="D89" s="36"/>
      <c r="E89" s="36" t="s">
        <v>125</v>
      </c>
      <c r="F89" s="36"/>
      <c r="G89" s="36"/>
      <c r="H89" s="36"/>
      <c r="I89" s="36"/>
      <c r="J89" s="36"/>
      <c r="K89" s="36"/>
      <c r="L89" s="36"/>
      <c r="M89" s="36"/>
      <c r="N89" s="36"/>
      <c r="O89" s="131"/>
      <c r="P89" s="155"/>
      <c r="Q89" s="3"/>
      <c r="R89" s="1015"/>
      <c r="S89" s="877"/>
      <c r="T89" s="3"/>
      <c r="U89" s="36"/>
      <c r="V89" s="36"/>
      <c r="W89" s="36"/>
      <c r="X89" s="36"/>
      <c r="Y89" s="36"/>
      <c r="Z89" s="36"/>
      <c r="AA89" s="36"/>
    </row>
    <row r="90" spans="1:27" ht="12.75" customHeight="1">
      <c r="A90" s="831"/>
      <c r="B90" s="130"/>
      <c r="C90" s="36"/>
      <c r="D90" s="36"/>
      <c r="E90" s="1040"/>
      <c r="F90" s="1041"/>
      <c r="G90" s="1041"/>
      <c r="H90" s="1041"/>
      <c r="I90" s="1041"/>
      <c r="J90" s="1041"/>
      <c r="K90" s="1041"/>
      <c r="L90" s="1041"/>
      <c r="M90" s="1042"/>
      <c r="N90" s="36"/>
      <c r="O90" s="135">
        <f>IF(E90="","",IF(S90=E90,Q90,0))</f>
      </c>
      <c r="P90" s="3" t="s">
        <v>107</v>
      </c>
      <c r="Q90" s="1012">
        <v>1</v>
      </c>
      <c r="R90" s="1015"/>
      <c r="S90" s="1014" t="str">
        <f>IF(S83&lt;S87,S92,IF(S83=S87,S91,IF(S83&gt;S87,S93,"")))</f>
        <v>Künftiger AKh-Bedarf (1 046 AKh) &lt; Künftige Ausstattung mit AKh (2 000 AKh)</v>
      </c>
      <c r="T90" s="136" t="s">
        <v>134</v>
      </c>
      <c r="U90" s="36" t="str">
        <f>IF('[2]E-ErgInt'!$E90="","",'[2]E-ErgInt'!$E90)</f>
        <v>Künftiger AKh-Bedarf (1 046 €) &lt; Künftige Ausstattung mit AKh (2 000 €)</v>
      </c>
      <c r="V90" s="36"/>
      <c r="W90" s="36"/>
      <c r="X90" s="36"/>
      <c r="Y90" s="36"/>
      <c r="Z90" s="36"/>
      <c r="AA90" s="36"/>
    </row>
    <row r="91" spans="1:27" ht="12.75" customHeight="1">
      <c r="A91" s="831"/>
      <c r="B91" s="130"/>
      <c r="C91" s="36"/>
      <c r="D91" s="36"/>
      <c r="E91" s="813" t="s">
        <v>524</v>
      </c>
      <c r="F91" s="220"/>
      <c r="G91" s="220"/>
      <c r="H91" s="220"/>
      <c r="I91" s="220"/>
      <c r="J91" s="220"/>
      <c r="K91" s="220"/>
      <c r="L91" s="220"/>
      <c r="M91" s="220"/>
      <c r="N91" s="36"/>
      <c r="O91" s="816"/>
      <c r="P91" s="3"/>
      <c r="Q91" s="1012"/>
      <c r="R91" s="1015"/>
      <c r="S91" s="877" t="str">
        <f>IF(OR(S83="",S87=""),"Daten fehlen!","Künftiger AKh-Bedarf ("&amp;TEXT(S83,"# ##0")&amp;" AKh) = Künftige Ausstattung mit AKh ("&amp;TEXT(S87,"# ##0")&amp;" AKh)")</f>
        <v>Künftiger AKh-Bedarf (1 046 AKh) = Künftige Ausstattung mit AKh (2 000 AKh)</v>
      </c>
      <c r="T91" s="848" t="str">
        <f>IF(OR(H83="",H87=""),"Daten fehlen!","Künftiger AKh-Bedarf ("&amp;TEXT(H83,"# ##0")&amp;" AKh) = Künftige Ausstattung mit AKh ("&amp;TEXT(H87,"# ##0")&amp;" AKh)")</f>
        <v>Daten fehlen!</v>
      </c>
      <c r="U91" s="36"/>
      <c r="V91" s="36"/>
      <c r="W91" s="36"/>
      <c r="X91" s="36"/>
      <c r="Y91" s="36"/>
      <c r="Z91" s="36"/>
      <c r="AA91" s="36"/>
    </row>
    <row r="92" spans="1:27" ht="12.75" customHeight="1">
      <c r="A92" s="831"/>
      <c r="B92" s="130"/>
      <c r="C92" s="36"/>
      <c r="D92" s="36"/>
      <c r="E92" s="141"/>
      <c r="F92" s="1035" t="str">
        <f>IF(OR(H83="",H87=""),"Daten fehlen!","Die Bewirtschaftung des Betriebes kann mit der künftigen AK-Ausstattung zwar gewährleistet werden. In Zeiten hoher Arbeitsspitzen kann es allerdings zu Engpässen kommen.")</f>
        <v>Daten fehlen!</v>
      </c>
      <c r="G92" s="1035"/>
      <c r="H92" s="1035"/>
      <c r="I92" s="1035"/>
      <c r="J92" s="1035"/>
      <c r="K92" s="1035"/>
      <c r="L92" s="1035"/>
      <c r="M92" s="1035"/>
      <c r="N92" s="36"/>
      <c r="O92" s="135">
        <f>IF(AND(E92='[2]E-ErgInt'!E92,E94='[2]E-ErgInt'!E94,E96='[2]E-ErgInt'!E96),Q92,"")</f>
      </c>
      <c r="P92" s="3" t="s">
        <v>107</v>
      </c>
      <c r="Q92" s="1012">
        <v>1</v>
      </c>
      <c r="R92" s="1015"/>
      <c r="S92" s="877" t="str">
        <f>IF(OR(S83="",S87=""),"Daten fehlen!","Künftiger AKh-Bedarf ("&amp;TEXT(S83,"# ##0")&amp;" AKh) &lt; Künftige Ausstattung mit AKh ("&amp;TEXT(S87,"# ##0")&amp;" AKh)")</f>
        <v>Künftiger AKh-Bedarf (1 046 AKh) &lt; Künftige Ausstattung mit AKh (2 000 AKh)</v>
      </c>
      <c r="T92" s="848" t="str">
        <f>IF(OR(H83="",H87=""),"Daten fehlen!","Künftiger AKh-Bedarf ("&amp;TEXT(H83,"# ##0")&amp;" AKh) &lt; Künftige Ausstattung mit AKh ("&amp;TEXT(H87,"# ##0")&amp;" AKh)")</f>
        <v>Daten fehlen!</v>
      </c>
      <c r="U92" s="36"/>
      <c r="V92" s="36"/>
      <c r="W92" s="36"/>
      <c r="X92" s="36"/>
      <c r="Y92" s="36"/>
      <c r="Z92" s="36"/>
      <c r="AA92" s="36"/>
    </row>
    <row r="93" spans="1:27" ht="12.75" customHeight="1">
      <c r="A93" s="831"/>
      <c r="B93" s="130"/>
      <c r="C93" s="36"/>
      <c r="D93" s="36"/>
      <c r="E93" s="814"/>
      <c r="F93" s="1035"/>
      <c r="G93" s="1035"/>
      <c r="H93" s="1035"/>
      <c r="I93" s="1035"/>
      <c r="J93" s="1035"/>
      <c r="K93" s="1035"/>
      <c r="L93" s="1035"/>
      <c r="M93" s="1035"/>
      <c r="N93" s="36"/>
      <c r="O93" s="816"/>
      <c r="P93" s="3"/>
      <c r="Q93" s="1012"/>
      <c r="R93" s="1015"/>
      <c r="S93" s="877" t="str">
        <f>IF(OR(S83="",S87=""),"Daten fehlen!","Künftiger AKh-Bedarf ("&amp;TEXT(S83,"# ##0")&amp;" AKh) &gt; Künftige Ausstattung mit AKh ("&amp;TEXT(S87,"# ##0")&amp;" AKh)")</f>
        <v>Künftiger AKh-Bedarf (1 046 AKh) &gt; Künftige Ausstattung mit AKh (2 000 AKh)</v>
      </c>
      <c r="T93" s="848" t="str">
        <f>IF(OR(H83="",H87=""),"Daten fehlen!","Künftiger AKh-Bedarf ("&amp;TEXT(H83,"# ##0")&amp;" AKh) &gt; Künftige Ausstattung mit AKh ("&amp;TEXT(H87,"# ##0")&amp;" AKh)")</f>
        <v>Daten fehlen!</v>
      </c>
      <c r="U93" s="36"/>
      <c r="V93" s="36"/>
      <c r="W93" s="36"/>
      <c r="X93" s="36"/>
      <c r="Y93" s="36"/>
      <c r="Z93" s="36"/>
      <c r="AA93" s="36"/>
    </row>
    <row r="94" spans="1:27" ht="12.75" customHeight="1">
      <c r="A94" s="831"/>
      <c r="B94" s="130"/>
      <c r="C94" s="36"/>
      <c r="D94" s="36"/>
      <c r="E94" s="141"/>
      <c r="F94" s="1035" t="str">
        <f>IF(OR(H83="",H87=""),"Daten fehlen!","Für die Bewirtschaftung des Betriebes werden künftig genügend Arbeitskräfte zur Verfügung stehen. Es sind sogar Reserven für Zeiten mit hohen Arbeitsspitzen vorhanden.")</f>
        <v>Daten fehlen!</v>
      </c>
      <c r="G94" s="1035"/>
      <c r="H94" s="1035"/>
      <c r="I94" s="1035"/>
      <c r="J94" s="1035"/>
      <c r="K94" s="1035"/>
      <c r="L94" s="1035"/>
      <c r="M94" s="1035"/>
      <c r="N94" s="36"/>
      <c r="O94" s="816"/>
      <c r="P94" s="3"/>
      <c r="Q94" s="1012"/>
      <c r="R94" s="1015"/>
      <c r="S94" s="877"/>
      <c r="T94" s="139"/>
      <c r="U94" s="36"/>
      <c r="V94" s="36"/>
      <c r="W94" s="36"/>
      <c r="X94" s="36"/>
      <c r="Y94" s="36"/>
      <c r="Z94" s="36"/>
      <c r="AA94" s="36"/>
    </row>
    <row r="95" spans="1:27" ht="12.75" customHeight="1">
      <c r="A95" s="831"/>
      <c r="B95" s="130"/>
      <c r="C95" s="36"/>
      <c r="D95" s="36"/>
      <c r="E95" s="814"/>
      <c r="F95" s="1035"/>
      <c r="G95" s="1035"/>
      <c r="H95" s="1035"/>
      <c r="I95" s="1035"/>
      <c r="J95" s="1035"/>
      <c r="K95" s="1035"/>
      <c r="L95" s="1035"/>
      <c r="M95" s="1035"/>
      <c r="N95" s="36"/>
      <c r="O95" s="816"/>
      <c r="P95" s="3"/>
      <c r="Q95" s="1012"/>
      <c r="R95" s="1015"/>
      <c r="S95" s="877"/>
      <c r="T95" s="139"/>
      <c r="U95" s="36"/>
      <c r="V95" s="36"/>
      <c r="W95" s="36"/>
      <c r="X95" s="36"/>
      <c r="Y95" s="36"/>
      <c r="Z95" s="36"/>
      <c r="AA95" s="36"/>
    </row>
    <row r="96" spans="1:27" ht="12.75" customHeight="1">
      <c r="A96" s="831"/>
      <c r="B96" s="130"/>
      <c r="C96" s="36"/>
      <c r="D96" s="36"/>
      <c r="E96" s="141"/>
      <c r="F96" s="1035" t="str">
        <f>IF(OR(H83="",H87=""),"Daten fehlen!","Das geplante Projekt erscheint aus arbeitswirtschaftlicher Sicht nicht sinnvoll. Der Betrieb wird mit den vorhandenen Arbeitskräften nicht zu bewirtschaften sein!")</f>
        <v>Daten fehlen!</v>
      </c>
      <c r="G96" s="1035"/>
      <c r="H96" s="1035"/>
      <c r="I96" s="1035"/>
      <c r="J96" s="1035"/>
      <c r="K96" s="1035"/>
      <c r="L96" s="1035"/>
      <c r="M96" s="1035"/>
      <c r="N96" s="36"/>
      <c r="O96" s="131"/>
      <c r="P96" s="155"/>
      <c r="Q96" s="3"/>
      <c r="R96" s="1015"/>
      <c r="S96" s="877"/>
      <c r="T96" s="3"/>
      <c r="U96" s="36"/>
      <c r="V96" s="36"/>
      <c r="W96" s="36"/>
      <c r="X96" s="36"/>
      <c r="Y96" s="36"/>
      <c r="Z96" s="36"/>
      <c r="AA96" s="36"/>
    </row>
    <row r="97" spans="1:27" ht="12.75" customHeight="1">
      <c r="A97" s="831"/>
      <c r="B97" s="130"/>
      <c r="C97" s="36"/>
      <c r="D97" s="36"/>
      <c r="E97" s="814"/>
      <c r="F97" s="1035"/>
      <c r="G97" s="1035"/>
      <c r="H97" s="1035"/>
      <c r="I97" s="1035"/>
      <c r="J97" s="1035"/>
      <c r="K97" s="1035"/>
      <c r="L97" s="1035"/>
      <c r="M97" s="1035"/>
      <c r="N97" s="36"/>
      <c r="O97" s="131"/>
      <c r="P97" s="155"/>
      <c r="Q97" s="3"/>
      <c r="R97" s="1015"/>
      <c r="S97" s="877"/>
      <c r="T97" s="3"/>
      <c r="U97" s="36"/>
      <c r="V97" s="36"/>
      <c r="W97" s="36"/>
      <c r="X97" s="36"/>
      <c r="Y97" s="36"/>
      <c r="Z97" s="36"/>
      <c r="AA97" s="36"/>
    </row>
    <row r="98" spans="1:27" ht="12.75">
      <c r="A98" s="831"/>
      <c r="B98" s="130"/>
      <c r="C98" s="36"/>
      <c r="D98" s="36"/>
      <c r="E98" s="36"/>
      <c r="F98" s="36"/>
      <c r="G98" s="36"/>
      <c r="H98" s="36"/>
      <c r="I98" s="36"/>
      <c r="J98" s="36"/>
      <c r="K98" s="36"/>
      <c r="L98" s="36"/>
      <c r="M98" s="36"/>
      <c r="N98" s="36"/>
      <c r="O98" s="149"/>
      <c r="P98" s="3"/>
      <c r="Q98" s="3"/>
      <c r="R98" s="3"/>
      <c r="S98" s="877"/>
      <c r="T98" s="3"/>
      <c r="U98" s="36"/>
      <c r="V98" s="36"/>
      <c r="W98" s="36"/>
      <c r="X98" s="36"/>
      <c r="Y98" s="36"/>
      <c r="Z98" s="36"/>
      <c r="AA98" s="36"/>
    </row>
    <row r="99" spans="1:27" ht="12.75" customHeight="1">
      <c r="A99" s="831"/>
      <c r="B99" s="130"/>
      <c r="C99" s="36"/>
      <c r="D99" s="150" t="s">
        <v>135</v>
      </c>
      <c r="E99" s="1039" t="s">
        <v>136</v>
      </c>
      <c r="F99" s="1039"/>
      <c r="G99" s="1039"/>
      <c r="H99" s="1039"/>
      <c r="I99" s="1039"/>
      <c r="J99" s="1039"/>
      <c r="K99" s="36"/>
      <c r="L99" s="36"/>
      <c r="M99" s="36"/>
      <c r="N99" s="36"/>
      <c r="O99" s="131"/>
      <c r="P99" s="1016"/>
      <c r="Q99" s="3"/>
      <c r="R99" s="1015"/>
      <c r="S99" s="877"/>
      <c r="T99" s="3"/>
      <c r="U99" s="36"/>
      <c r="V99" s="36"/>
      <c r="W99" s="36"/>
      <c r="X99" s="36"/>
      <c r="Y99" s="36"/>
      <c r="Z99" s="36"/>
      <c r="AA99" s="36"/>
    </row>
    <row r="100" spans="1:27" ht="12.75">
      <c r="A100" s="831"/>
      <c r="B100" s="130"/>
      <c r="C100" s="36"/>
      <c r="D100" s="36"/>
      <c r="E100" s="141"/>
      <c r="F100" s="36" t="s">
        <v>137</v>
      </c>
      <c r="G100" s="36"/>
      <c r="H100" s="36"/>
      <c r="I100" s="36"/>
      <c r="J100" s="36"/>
      <c r="K100" s="36"/>
      <c r="L100" s="36"/>
      <c r="M100" s="36"/>
      <c r="N100" s="36"/>
      <c r="O100" s="135">
        <f>IF(OR(AND(E100="",E102=""),AND(E100&lt;&gt;"",E102&lt;&gt;"",0)),"",IF(AND(E100='[2]E-ErgInt'!E100,E102='[2]E-ErgInt'!E102),Q100,0))</f>
      </c>
      <c r="P100" s="3" t="s">
        <v>107</v>
      </c>
      <c r="Q100" s="1012">
        <v>1</v>
      </c>
      <c r="R100" s="1015"/>
      <c r="S100" s="877"/>
      <c r="T100" s="3"/>
      <c r="U100" s="36"/>
      <c r="V100" s="36"/>
      <c r="W100" s="36"/>
      <c r="X100" s="36"/>
      <c r="Y100" s="36"/>
      <c r="Z100" s="36"/>
      <c r="AA100" s="36"/>
    </row>
    <row r="101" spans="1:27" ht="3.75" customHeight="1">
      <c r="A101" s="831"/>
      <c r="B101" s="130"/>
      <c r="C101" s="36"/>
      <c r="D101" s="36"/>
      <c r="E101" s="36"/>
      <c r="F101" s="36"/>
      <c r="G101" s="36"/>
      <c r="H101" s="36"/>
      <c r="I101" s="36"/>
      <c r="J101" s="36"/>
      <c r="K101" s="155"/>
      <c r="L101" s="36"/>
      <c r="M101" s="152"/>
      <c r="N101" s="36"/>
      <c r="O101" s="131"/>
      <c r="P101" s="3"/>
      <c r="Q101" s="1012"/>
      <c r="R101" s="3"/>
      <c r="S101" s="877"/>
      <c r="T101" s="3"/>
      <c r="U101" s="36"/>
      <c r="V101" s="36"/>
      <c r="W101" s="36"/>
      <c r="X101" s="36"/>
      <c r="Y101" s="36"/>
      <c r="Z101" s="36"/>
      <c r="AA101" s="36"/>
    </row>
    <row r="102" spans="1:27" ht="12.75">
      <c r="A102" s="831"/>
      <c r="B102" s="130"/>
      <c r="C102" s="36"/>
      <c r="D102" s="36"/>
      <c r="E102" s="141"/>
      <c r="F102" s="36" t="s">
        <v>531</v>
      </c>
      <c r="G102" s="36"/>
      <c r="H102" s="36"/>
      <c r="I102" s="36"/>
      <c r="J102" s="36"/>
      <c r="K102" s="155"/>
      <c r="L102" s="36"/>
      <c r="M102" s="152"/>
      <c r="N102" s="36"/>
      <c r="O102" s="131"/>
      <c r="P102" s="3"/>
      <c r="Q102" s="1012"/>
      <c r="R102" s="3"/>
      <c r="S102" s="877"/>
      <c r="T102" s="3"/>
      <c r="U102" s="36"/>
      <c r="V102" s="36"/>
      <c r="W102" s="36"/>
      <c r="X102" s="36"/>
      <c r="Y102" s="36"/>
      <c r="Z102" s="36"/>
      <c r="AA102" s="36"/>
    </row>
    <row r="103" spans="1:27" ht="7.5" customHeight="1">
      <c r="A103" s="831"/>
      <c r="B103" s="130"/>
      <c r="C103" s="36"/>
      <c r="D103" s="36"/>
      <c r="E103" s="36"/>
      <c r="F103" s="36"/>
      <c r="G103" s="36"/>
      <c r="H103" s="36"/>
      <c r="I103" s="36"/>
      <c r="J103" s="36"/>
      <c r="K103" s="36"/>
      <c r="L103" s="36"/>
      <c r="M103" s="36"/>
      <c r="N103" s="36"/>
      <c r="O103" s="149"/>
      <c r="P103" s="3"/>
      <c r="Q103" s="3"/>
      <c r="R103" s="3"/>
      <c r="S103" s="877"/>
      <c r="T103" s="3"/>
      <c r="U103" s="36"/>
      <c r="V103" s="36"/>
      <c r="W103" s="36"/>
      <c r="X103" s="36"/>
      <c r="Y103" s="36"/>
      <c r="Z103" s="36"/>
      <c r="AA103" s="36"/>
    </row>
    <row r="104" spans="1:27" ht="12.75">
      <c r="A104" s="831"/>
      <c r="B104" s="130"/>
      <c r="C104" s="36"/>
      <c r="D104" s="36"/>
      <c r="E104" s="154" t="s">
        <v>138</v>
      </c>
      <c r="F104" s="36"/>
      <c r="G104" s="36"/>
      <c r="H104" s="156"/>
      <c r="I104" s="846" t="s">
        <v>528</v>
      </c>
      <c r="J104" s="36" t="s">
        <v>139</v>
      </c>
      <c r="K104" s="36"/>
      <c r="L104" s="36"/>
      <c r="M104" s="36"/>
      <c r="N104" s="36"/>
      <c r="O104" s="135">
        <f>IF(H104="","",IF(S104=H104,Q104,0))</f>
      </c>
      <c r="P104" s="3" t="s">
        <v>107</v>
      </c>
      <c r="Q104" s="1012">
        <v>1</v>
      </c>
      <c r="R104" s="1015"/>
      <c r="S104" s="1013">
        <f>IF(Korrektur!D114="","",Korrektur!D114)</f>
        <v>436400</v>
      </c>
      <c r="T104" s="3"/>
      <c r="U104" s="36"/>
      <c r="V104" s="36"/>
      <c r="W104" s="36"/>
      <c r="X104" s="36"/>
      <c r="Y104" s="36"/>
      <c r="Z104" s="36"/>
      <c r="AA104" s="36"/>
    </row>
    <row r="105" spans="1:27" ht="7.5" customHeight="1">
      <c r="A105" s="831"/>
      <c r="B105" s="130"/>
      <c r="C105" s="36"/>
      <c r="D105" s="36"/>
      <c r="E105" s="36"/>
      <c r="F105" s="36"/>
      <c r="G105" s="36"/>
      <c r="H105" s="145"/>
      <c r="I105" s="36"/>
      <c r="J105" s="36"/>
      <c r="K105" s="36"/>
      <c r="L105" s="36"/>
      <c r="M105" s="36"/>
      <c r="N105" s="36"/>
      <c r="O105" s="131"/>
      <c r="P105" s="155"/>
      <c r="Q105" s="3"/>
      <c r="R105" s="1015"/>
      <c r="S105" s="877"/>
      <c r="T105" s="3"/>
      <c r="U105" s="36"/>
      <c r="V105" s="36"/>
      <c r="W105" s="36"/>
      <c r="X105" s="36"/>
      <c r="Y105" s="36"/>
      <c r="Z105" s="36"/>
      <c r="AA105" s="36"/>
    </row>
    <row r="106" spans="1:27" ht="12.75">
      <c r="A106" s="831"/>
      <c r="B106" s="130"/>
      <c r="C106" s="36"/>
      <c r="D106" s="36"/>
      <c r="E106" s="36" t="s">
        <v>125</v>
      </c>
      <c r="F106" s="36"/>
      <c r="G106" s="36"/>
      <c r="H106" s="36"/>
      <c r="I106" s="36"/>
      <c r="J106" s="36"/>
      <c r="K106" s="155"/>
      <c r="L106" s="36"/>
      <c r="M106" s="152"/>
      <c r="N106" s="36"/>
      <c r="O106" s="131"/>
      <c r="P106" s="3"/>
      <c r="Q106" s="1012"/>
      <c r="R106" s="3"/>
      <c r="S106" s="877"/>
      <c r="T106" s="136"/>
      <c r="U106" s="36"/>
      <c r="V106" s="36"/>
      <c r="W106" s="36"/>
      <c r="X106" s="36"/>
      <c r="Y106" s="36"/>
      <c r="Z106" s="36"/>
      <c r="AA106" s="36"/>
    </row>
    <row r="107" spans="1:27" ht="12.75" customHeight="1">
      <c r="A107" s="831"/>
      <c r="B107" s="130"/>
      <c r="C107" s="36"/>
      <c r="D107" s="157"/>
      <c r="E107" s="1040"/>
      <c r="F107" s="1041"/>
      <c r="G107" s="1041"/>
      <c r="H107" s="1041"/>
      <c r="I107" s="1041"/>
      <c r="J107" s="1041"/>
      <c r="K107" s="1041"/>
      <c r="L107" s="1041"/>
      <c r="M107" s="1042"/>
      <c r="N107" s="36"/>
      <c r="O107" s="135">
        <f>IF(E107="","",IF(S107=E107,Q107,0))</f>
      </c>
      <c r="P107" s="3" t="s">
        <v>107</v>
      </c>
      <c r="Q107" s="1012">
        <v>1</v>
      </c>
      <c r="R107" s="3"/>
      <c r="S107" s="1014" t="str">
        <f>IF(S104&lt;0,S108,IF(S104=0,S110,IF(S104&gt;0,S109,"")))</f>
        <v>Die Energiebilanz (436 400) ist positiv!</v>
      </c>
      <c r="T107" s="136" t="s">
        <v>138</v>
      </c>
      <c r="U107" s="36" t="str">
        <f>IF('[2]E-ErgInt'!$E107="","",'[2]E-ErgInt'!$E107)</f>
        <v>Die Energiebilanz (436 400) ist positiv!</v>
      </c>
      <c r="V107" s="36"/>
      <c r="W107" s="36"/>
      <c r="X107" s="36"/>
      <c r="Y107" s="36"/>
      <c r="Z107" s="36"/>
      <c r="AA107" s="36"/>
    </row>
    <row r="108" spans="1:27" ht="12.75" customHeight="1">
      <c r="A108" s="831"/>
      <c r="B108" s="130"/>
      <c r="C108" s="36"/>
      <c r="D108" s="157"/>
      <c r="E108" s="813" t="s">
        <v>524</v>
      </c>
      <c r="F108" s="220"/>
      <c r="G108" s="220"/>
      <c r="H108" s="220"/>
      <c r="I108" s="220"/>
      <c r="J108" s="220"/>
      <c r="K108" s="220"/>
      <c r="L108" s="220"/>
      <c r="M108" s="220"/>
      <c r="N108" s="36"/>
      <c r="O108" s="3"/>
      <c r="P108" s="3"/>
      <c r="Q108" s="1012"/>
      <c r="R108" s="3"/>
      <c r="S108" s="877" t="str">
        <f>IF(S104="","Daten fehlen!","Die Energiebilanz ("&amp;TEXT(S104,"# ##0")&amp;") ist negativ!")</f>
        <v>Die Energiebilanz (436 400) ist negativ!</v>
      </c>
      <c r="T108" s="848" t="str">
        <f>IF(H104="","Daten fehlen!","Die Energiebilanz ("&amp;TEXT(H104,"# ##0")&amp;") ist negativ!")</f>
        <v>Daten fehlen!</v>
      </c>
      <c r="U108" s="36"/>
      <c r="V108" s="36"/>
      <c r="W108" s="36"/>
      <c r="X108" s="36"/>
      <c r="Y108" s="36"/>
      <c r="Z108" s="36"/>
      <c r="AA108" s="36"/>
    </row>
    <row r="109" spans="1:27" ht="12.75" customHeight="1">
      <c r="A109" s="831"/>
      <c r="B109" s="130"/>
      <c r="C109" s="36"/>
      <c r="D109" s="36"/>
      <c r="E109" s="141"/>
      <c r="F109" s="1035" t="str">
        <f>IF(H104="","Daten fehlen!","Du erzeugst zuwenig Energie aus deinem Grundfutter. Du musst entweder Grundfutter oder Kraftfutter zukaufen.")</f>
        <v>Daten fehlen!</v>
      </c>
      <c r="G109" s="1035"/>
      <c r="H109" s="1035"/>
      <c r="I109" s="1035"/>
      <c r="J109" s="1035"/>
      <c r="K109" s="1035"/>
      <c r="L109" s="1035"/>
      <c r="M109" s="1035"/>
      <c r="N109" s="36"/>
      <c r="O109" s="135">
        <f>IF(AND(E109='[2]E-ErgInt'!E109,E111='[2]E-ErgInt'!E111,E113='[2]E-ErgInt'!E113,E115='[2]E-ErgInt'!E115,E117='[2]E-ErgInt'!E117),Q109,"")</f>
      </c>
      <c r="P109" s="3" t="s">
        <v>107</v>
      </c>
      <c r="Q109" s="1012">
        <v>1</v>
      </c>
      <c r="R109" s="3"/>
      <c r="S109" s="877" t="str">
        <f>IF(S104="","Daten fehlen!","Die Energiebilanz ("&amp;TEXT(S104,"# ##0")&amp;") ist positiv!")</f>
        <v>Die Energiebilanz (436 400) ist positiv!</v>
      </c>
      <c r="T109" s="848" t="str">
        <f>IF(H104="","Daten fehlen!","Die Energiebilanz ("&amp;TEXT(H104,"# ##0")&amp;") ist positiv!")</f>
        <v>Daten fehlen!</v>
      </c>
      <c r="U109" s="36"/>
      <c r="V109" s="36"/>
      <c r="W109" s="36"/>
      <c r="X109" s="36"/>
      <c r="Y109" s="36"/>
      <c r="Z109" s="36"/>
      <c r="AA109" s="36"/>
    </row>
    <row r="110" spans="1:27" ht="12.75" customHeight="1">
      <c r="A110" s="831"/>
      <c r="B110" s="130"/>
      <c r="C110" s="36"/>
      <c r="D110" s="36"/>
      <c r="E110" s="814"/>
      <c r="F110" s="1035"/>
      <c r="G110" s="1035"/>
      <c r="H110" s="1035"/>
      <c r="I110" s="1035"/>
      <c r="J110" s="1035"/>
      <c r="K110" s="1035"/>
      <c r="L110" s="1035"/>
      <c r="M110" s="1035"/>
      <c r="N110" s="36"/>
      <c r="O110" s="131"/>
      <c r="P110" s="3"/>
      <c r="Q110" s="1012"/>
      <c r="R110" s="3"/>
      <c r="S110" s="877" t="str">
        <f>IF(S104="","Daten fehlen!","Die Energiebilanz ("&amp;TEXT(S104,"# ##0")&amp;") ist ausgeglichen!")</f>
        <v>Die Energiebilanz (436 400) ist ausgeglichen!</v>
      </c>
      <c r="T110" s="848" t="str">
        <f>IF(H104="","Daten fehlen!","Die Energiebilanz ("&amp;TEXT(H104,"# ##0")&amp;") ist ausgeglichen!")</f>
        <v>Daten fehlen!</v>
      </c>
      <c r="U110" s="36"/>
      <c r="V110" s="36"/>
      <c r="W110" s="36"/>
      <c r="X110" s="36"/>
      <c r="Y110" s="36"/>
      <c r="Z110" s="36"/>
      <c r="AA110" s="36"/>
    </row>
    <row r="111" spans="1:27" ht="12.75" customHeight="1">
      <c r="A111" s="831"/>
      <c r="B111" s="130"/>
      <c r="C111" s="36"/>
      <c r="D111" s="36"/>
      <c r="E111" s="141"/>
      <c r="F111" s="1035" t="str">
        <f>IF(H104="","Daten fehlen!","Der Energiebedarf ist geringfügig höher als die erzeugte Energie. Das könnte aber vermutlich durch eine Intensivierung des Futterbaues ausgeglichen werden!")</f>
        <v>Daten fehlen!</v>
      </c>
      <c r="G111" s="1035"/>
      <c r="H111" s="1035"/>
      <c r="I111" s="1035"/>
      <c r="J111" s="1035"/>
      <c r="K111" s="1035"/>
      <c r="L111" s="1035"/>
      <c r="M111" s="1035"/>
      <c r="N111" s="36"/>
      <c r="O111" s="131"/>
      <c r="P111" s="36"/>
      <c r="Q111" s="132"/>
      <c r="R111" s="36"/>
      <c r="S111" s="36"/>
      <c r="T111" s="36"/>
      <c r="U111" s="36"/>
      <c r="V111" s="36"/>
      <c r="W111" s="36"/>
      <c r="X111" s="36"/>
      <c r="Y111" s="36"/>
      <c r="Z111" s="36"/>
      <c r="AA111" s="36"/>
    </row>
    <row r="112" spans="1:27" ht="12.75" customHeight="1">
      <c r="A112" s="831"/>
      <c r="B112" s="130"/>
      <c r="C112" s="36"/>
      <c r="D112" s="36"/>
      <c r="E112" s="814"/>
      <c r="F112" s="1035"/>
      <c r="G112" s="1035"/>
      <c r="H112" s="1035"/>
      <c r="I112" s="1035"/>
      <c r="J112" s="1035"/>
      <c r="K112" s="1035"/>
      <c r="L112" s="1035"/>
      <c r="M112" s="1035"/>
      <c r="N112" s="36"/>
      <c r="O112" s="131"/>
      <c r="P112" s="36"/>
      <c r="Q112" s="132"/>
      <c r="R112" s="36"/>
      <c r="S112" s="36"/>
      <c r="T112" s="139"/>
      <c r="U112" s="36"/>
      <c r="V112" s="36"/>
      <c r="W112" s="36"/>
      <c r="X112" s="36"/>
      <c r="Y112" s="36"/>
      <c r="Z112" s="36"/>
      <c r="AA112" s="36"/>
    </row>
    <row r="113" spans="1:27" ht="12.75" customHeight="1">
      <c r="A113" s="831"/>
      <c r="B113" s="130"/>
      <c r="C113" s="36"/>
      <c r="D113" s="36"/>
      <c r="E113" s="141"/>
      <c r="F113" s="1035" t="str">
        <f>IF(H104="","Daten fehlen!","Es wird ein Energieüberschuss erwirtschaftet. Du könntest Flächen anderwertig nutzen oder Grundfutter verkaufen!")</f>
        <v>Daten fehlen!</v>
      </c>
      <c r="G113" s="1035"/>
      <c r="H113" s="1035"/>
      <c r="I113" s="1035"/>
      <c r="J113" s="1035"/>
      <c r="K113" s="1035"/>
      <c r="L113" s="1035"/>
      <c r="M113" s="1035"/>
      <c r="N113" s="36"/>
      <c r="O113" s="131"/>
      <c r="P113" s="36"/>
      <c r="Q113" s="132"/>
      <c r="R113" s="36"/>
      <c r="S113" s="36"/>
      <c r="T113" s="139"/>
      <c r="U113" s="36"/>
      <c r="V113" s="36"/>
      <c r="W113" s="36"/>
      <c r="X113" s="36"/>
      <c r="Y113" s="36"/>
      <c r="Z113" s="36"/>
      <c r="AA113" s="36"/>
    </row>
    <row r="114" spans="1:27" ht="12.75" customHeight="1">
      <c r="A114" s="831"/>
      <c r="B114" s="130"/>
      <c r="C114" s="36"/>
      <c r="D114" s="36"/>
      <c r="E114" s="814"/>
      <c r="F114" s="1035"/>
      <c r="G114" s="1035"/>
      <c r="H114" s="1035"/>
      <c r="I114" s="1035"/>
      <c r="J114" s="1035"/>
      <c r="K114" s="1035"/>
      <c r="L114" s="1035"/>
      <c r="M114" s="1035"/>
      <c r="N114" s="36"/>
      <c r="O114" s="131"/>
      <c r="P114" s="36"/>
      <c r="Q114" s="132"/>
      <c r="R114" s="36"/>
      <c r="S114" s="36"/>
      <c r="T114" s="139"/>
      <c r="U114" s="36"/>
      <c r="V114" s="36"/>
      <c r="W114" s="36"/>
      <c r="X114" s="36"/>
      <c r="Y114" s="36"/>
      <c r="Z114" s="36"/>
      <c r="AA114" s="36"/>
    </row>
    <row r="115" spans="1:27" ht="12.75" customHeight="1">
      <c r="A115" s="831"/>
      <c r="B115" s="130"/>
      <c r="C115" s="36"/>
      <c r="D115" s="36"/>
      <c r="E115" s="141"/>
      <c r="F115" s="1035" t="str">
        <f>IF(H104="","Daten fehlen!","Das geringfügige Plus an Energie veschafft die Reserven für Jahre mit schlechteren Wirtschaftsfuttererträgen.")</f>
        <v>Daten fehlen!</v>
      </c>
      <c r="G115" s="1035"/>
      <c r="H115" s="1035"/>
      <c r="I115" s="1035"/>
      <c r="J115" s="1035"/>
      <c r="K115" s="1035"/>
      <c r="L115" s="1035"/>
      <c r="M115" s="1035"/>
      <c r="N115" s="36"/>
      <c r="O115" s="131"/>
      <c r="P115" s="36"/>
      <c r="Q115" s="132"/>
      <c r="R115" s="36"/>
      <c r="S115" s="36"/>
      <c r="T115" s="139"/>
      <c r="U115" s="36"/>
      <c r="V115" s="36"/>
      <c r="W115" s="36"/>
      <c r="X115" s="36"/>
      <c r="Y115" s="36"/>
      <c r="Z115" s="36"/>
      <c r="AA115" s="36"/>
    </row>
    <row r="116" spans="1:27" ht="12.75" customHeight="1">
      <c r="A116" s="831"/>
      <c r="B116" s="130"/>
      <c r="C116" s="36"/>
      <c r="D116" s="36"/>
      <c r="E116" s="814"/>
      <c r="F116" s="1035"/>
      <c r="G116" s="1035"/>
      <c r="H116" s="1035"/>
      <c r="I116" s="1035"/>
      <c r="J116" s="1035"/>
      <c r="K116" s="1035"/>
      <c r="L116" s="1035"/>
      <c r="M116" s="1035"/>
      <c r="N116" s="36"/>
      <c r="O116" s="131"/>
      <c r="P116" s="36"/>
      <c r="Q116" s="132"/>
      <c r="R116" s="36"/>
      <c r="S116" s="36"/>
      <c r="T116" s="139"/>
      <c r="U116" s="36"/>
      <c r="V116" s="36"/>
      <c r="W116" s="36"/>
      <c r="X116" s="36"/>
      <c r="Y116" s="36"/>
      <c r="Z116" s="36"/>
      <c r="AA116" s="36"/>
    </row>
    <row r="117" spans="1:27" ht="12.75" customHeight="1">
      <c r="A117" s="831"/>
      <c r="B117" s="130"/>
      <c r="C117" s="36"/>
      <c r="D117" s="36"/>
      <c r="E117" s="141"/>
      <c r="F117" s="1035" t="str">
        <f>IF(H104="","Daten fehlen!","Du erzeugst gerade soviel Energie wie du benötigst. In ertragsschwachen Jahren könnte es allerdings knapp werden. Dann müsstest du etwas Futter zukaufen.")</f>
        <v>Daten fehlen!</v>
      </c>
      <c r="G117" s="1035"/>
      <c r="H117" s="1035"/>
      <c r="I117" s="1035"/>
      <c r="J117" s="1035"/>
      <c r="K117" s="1035"/>
      <c r="L117" s="1035"/>
      <c r="M117" s="1035"/>
      <c r="N117" s="36"/>
      <c r="O117" s="131"/>
      <c r="P117" s="36"/>
      <c r="Q117" s="132"/>
      <c r="R117" s="36"/>
      <c r="S117" s="36"/>
      <c r="T117" s="139"/>
      <c r="U117" s="36"/>
      <c r="V117" s="36"/>
      <c r="W117" s="36"/>
      <c r="X117" s="36"/>
      <c r="Y117" s="36"/>
      <c r="Z117" s="36"/>
      <c r="AA117" s="36"/>
    </row>
    <row r="118" spans="1:27" ht="12.75" customHeight="1">
      <c r="A118" s="831"/>
      <c r="B118" s="130"/>
      <c r="C118" s="36"/>
      <c r="D118" s="36"/>
      <c r="E118" s="814"/>
      <c r="F118" s="1035"/>
      <c r="G118" s="1035"/>
      <c r="H118" s="1035"/>
      <c r="I118" s="1035"/>
      <c r="J118" s="1035"/>
      <c r="K118" s="1035"/>
      <c r="L118" s="1035"/>
      <c r="M118" s="1035"/>
      <c r="N118" s="36"/>
      <c r="O118" s="131"/>
      <c r="P118" s="36"/>
      <c r="Q118" s="132"/>
      <c r="R118" s="36"/>
      <c r="S118" s="36"/>
      <c r="T118" s="139"/>
      <c r="U118" s="36"/>
      <c r="V118" s="36"/>
      <c r="W118" s="36"/>
      <c r="X118" s="36"/>
      <c r="Y118" s="36"/>
      <c r="Z118" s="36"/>
      <c r="AA118" s="36"/>
    </row>
    <row r="119" spans="1:27" ht="12.75">
      <c r="A119" s="831"/>
      <c r="B119" s="130"/>
      <c r="C119" s="36"/>
      <c r="D119" s="36"/>
      <c r="E119" s="36"/>
      <c r="F119" s="36"/>
      <c r="G119" s="36"/>
      <c r="H119" s="36"/>
      <c r="I119" s="36"/>
      <c r="J119" s="36"/>
      <c r="K119" s="36"/>
      <c r="L119" s="36"/>
      <c r="M119" s="36"/>
      <c r="N119" s="36"/>
      <c r="O119" s="131"/>
      <c r="P119" s="36"/>
      <c r="Q119" s="132"/>
      <c r="R119" s="36"/>
      <c r="S119" s="36"/>
      <c r="T119" s="36"/>
      <c r="U119" s="36"/>
      <c r="V119" s="36"/>
      <c r="W119" s="36"/>
      <c r="X119" s="36"/>
      <c r="Y119" s="36"/>
      <c r="Z119" s="36"/>
      <c r="AA119" s="36"/>
    </row>
    <row r="120" spans="1:27" ht="12.75">
      <c r="A120" s="831"/>
      <c r="B120" s="130"/>
      <c r="C120" s="92" t="s">
        <v>140</v>
      </c>
      <c r="D120" s="92" t="s">
        <v>141</v>
      </c>
      <c r="E120" s="36"/>
      <c r="F120" s="36"/>
      <c r="G120" s="36"/>
      <c r="H120" s="36"/>
      <c r="I120" s="36"/>
      <c r="J120" s="36"/>
      <c r="K120" s="36"/>
      <c r="L120" s="36"/>
      <c r="M120" s="36"/>
      <c r="N120" s="36"/>
      <c r="O120" s="149"/>
      <c r="P120" s="36"/>
      <c r="Q120" s="132"/>
      <c r="R120" s="36"/>
      <c r="S120" s="36"/>
      <c r="T120" s="36"/>
      <c r="U120" s="36"/>
      <c r="V120" s="36"/>
      <c r="W120" s="36"/>
      <c r="X120" s="36"/>
      <c r="Y120" s="36"/>
      <c r="Z120" s="36"/>
      <c r="AA120" s="36"/>
    </row>
    <row r="121" spans="1:27" ht="13.5" customHeight="1">
      <c r="A121" s="831"/>
      <c r="B121" s="130"/>
      <c r="C121" s="36"/>
      <c r="D121" s="36"/>
      <c r="E121" s="36"/>
      <c r="F121" s="36"/>
      <c r="G121" s="36"/>
      <c r="H121" s="36"/>
      <c r="I121" s="36"/>
      <c r="J121" s="36"/>
      <c r="K121" s="36"/>
      <c r="L121" s="36"/>
      <c r="M121" s="36"/>
      <c r="N121" s="36"/>
      <c r="O121" s="131"/>
      <c r="P121" s="36"/>
      <c r="Q121" s="132"/>
      <c r="R121" s="36"/>
      <c r="S121" s="36"/>
      <c r="T121" s="36"/>
      <c r="U121" s="36"/>
      <c r="V121" s="36"/>
      <c r="W121" s="36"/>
      <c r="X121" s="36"/>
      <c r="Y121" s="36"/>
      <c r="Z121" s="36"/>
      <c r="AA121" s="36"/>
    </row>
    <row r="122" spans="1:27" ht="12.75">
      <c r="A122" s="831"/>
      <c r="B122" s="130"/>
      <c r="C122" s="36"/>
      <c r="D122" s="158" t="s">
        <v>142</v>
      </c>
      <c r="E122" s="158"/>
      <c r="F122" s="158"/>
      <c r="G122" s="158"/>
      <c r="H122" s="158"/>
      <c r="I122" s="158"/>
      <c r="J122" s="158"/>
      <c r="K122" s="158"/>
      <c r="L122" s="158"/>
      <c r="M122" s="158"/>
      <c r="N122" s="36"/>
      <c r="O122" s="135">
        <f>IF(M1&lt;&gt;"x","",SUM(S125:S146,T125:T146,U125:U146,V125:V146))</f>
        <v>0</v>
      </c>
      <c r="P122" s="36" t="s">
        <v>107</v>
      </c>
      <c r="Q122" s="132">
        <f>IF(M1&lt;&gt;"x","",27)</f>
        <v>27</v>
      </c>
      <c r="R122" s="36"/>
      <c r="S122" s="853" t="s">
        <v>143</v>
      </c>
      <c r="T122" s="853"/>
      <c r="U122" s="854"/>
      <c r="V122" s="854" t="s">
        <v>144</v>
      </c>
      <c r="W122" s="36"/>
      <c r="X122" s="855" t="s">
        <v>535</v>
      </c>
      <c r="Y122" s="855"/>
      <c r="Z122" s="855"/>
      <c r="AA122" s="855"/>
    </row>
    <row r="123" spans="1:27" ht="12.75">
      <c r="A123" s="831"/>
      <c r="B123" s="130"/>
      <c r="C123" s="36"/>
      <c r="D123" s="159" t="s">
        <v>143</v>
      </c>
      <c r="E123" s="159"/>
      <c r="F123" s="159"/>
      <c r="G123" s="159"/>
      <c r="H123" s="159"/>
      <c r="I123" s="159"/>
      <c r="J123" s="159"/>
      <c r="K123" s="159"/>
      <c r="L123" s="159"/>
      <c r="M123" s="160" t="s">
        <v>144</v>
      </c>
      <c r="N123" s="36"/>
      <c r="O123" s="131"/>
      <c r="P123" s="36"/>
      <c r="Q123" s="132"/>
      <c r="R123" s="36"/>
      <c r="S123" s="856" t="s">
        <v>536</v>
      </c>
      <c r="T123" s="856" t="s">
        <v>537</v>
      </c>
      <c r="U123" s="856" t="s">
        <v>538</v>
      </c>
      <c r="V123" s="856" t="s">
        <v>539</v>
      </c>
      <c r="W123" s="36"/>
      <c r="X123" s="857" t="s">
        <v>143</v>
      </c>
      <c r="Y123" s="858"/>
      <c r="Z123" s="858"/>
      <c r="AA123" s="859" t="s">
        <v>144</v>
      </c>
    </row>
    <row r="124" spans="1:27" ht="12.75">
      <c r="A124" s="831"/>
      <c r="B124" s="130"/>
      <c r="C124" s="36"/>
      <c r="D124" s="36" t="s">
        <v>80</v>
      </c>
      <c r="E124" s="36"/>
      <c r="F124" s="36"/>
      <c r="G124" s="36"/>
      <c r="H124" s="36"/>
      <c r="I124" s="161"/>
      <c r="J124" s="145"/>
      <c r="K124" s="36" t="s">
        <v>145</v>
      </c>
      <c r="L124" s="36"/>
      <c r="M124" s="36"/>
      <c r="N124" s="36"/>
      <c r="O124" s="131"/>
      <c r="P124" s="36"/>
      <c r="Q124" s="132"/>
      <c r="R124" s="36"/>
      <c r="S124" s="860" t="s">
        <v>540</v>
      </c>
      <c r="T124" s="860"/>
      <c r="U124" s="860" t="s">
        <v>541</v>
      </c>
      <c r="V124" s="860"/>
      <c r="W124" s="36"/>
      <c r="X124" s="861" t="s">
        <v>80</v>
      </c>
      <c r="Y124" s="862"/>
      <c r="Z124" s="861" t="s">
        <v>145</v>
      </c>
      <c r="AA124" s="863"/>
    </row>
    <row r="125" spans="1:27" ht="12.75">
      <c r="A125" s="831"/>
      <c r="B125" s="130"/>
      <c r="C125" s="36"/>
      <c r="D125" s="1034"/>
      <c r="E125" s="1034"/>
      <c r="F125" s="1034"/>
      <c r="G125" s="817"/>
      <c r="H125" s="143"/>
      <c r="I125" s="818"/>
      <c r="J125" s="145"/>
      <c r="K125" s="162"/>
      <c r="L125" s="817"/>
      <c r="M125" s="143"/>
      <c r="N125" s="817"/>
      <c r="O125" s="131"/>
      <c r="P125" s="36"/>
      <c r="Q125" s="132"/>
      <c r="R125" s="36"/>
      <c r="S125" s="824">
        <f>IF(OR(D125=$X$125,D125=$X$127,D125=$X$129),1,0)</f>
        <v>0</v>
      </c>
      <c r="T125" s="825">
        <f>IF(OR(H125=$Y$125,H125=$Y$127,H125=$Y$129),1,0)</f>
        <v>0</v>
      </c>
      <c r="U125" s="824">
        <f>IF(OR(K125=$Z$125,K125=$Z$127),1,0)</f>
        <v>0</v>
      </c>
      <c r="V125" s="824">
        <f>IF(OR(M125=$AA$125,M125=$AA$127),1,0)</f>
        <v>0</v>
      </c>
      <c r="W125" s="36"/>
      <c r="X125" s="36" t="str">
        <f>IF('[2]E-ErgInt'!D125="","",'[2]E-ErgInt'!D125)</f>
        <v>Grundverbesserungen</v>
      </c>
      <c r="Y125" s="864">
        <f>IF('[2]E-ErgInt'!H125="","",'[2]E-ErgInt'!H125)</f>
        <v>1</v>
      </c>
      <c r="Z125" s="36" t="str">
        <f>IF('[2]E-ErgInt'!$K$125="","",'[2]E-ErgInt'!$K$125)</f>
        <v>Verbindlichkeiten Futtermittellieferanten</v>
      </c>
      <c r="AA125" s="863">
        <f>IF('[2]E-ErgInt'!M125="","",'[2]E-ErgInt'!M125)</f>
        <v>980</v>
      </c>
    </row>
    <row r="126" spans="1:27" ht="3.75" customHeight="1">
      <c r="A126" s="831"/>
      <c r="B126" s="130"/>
      <c r="C126" s="36"/>
      <c r="D126" s="36"/>
      <c r="E126" s="36"/>
      <c r="F126" s="36"/>
      <c r="G126" s="817"/>
      <c r="H126" s="36"/>
      <c r="I126" s="818"/>
      <c r="J126" s="145"/>
      <c r="K126" s="36"/>
      <c r="L126" s="817"/>
      <c r="M126" s="36"/>
      <c r="N126" s="817"/>
      <c r="O126" s="131"/>
      <c r="P126" s="36"/>
      <c r="Q126" s="132"/>
      <c r="R126" s="36"/>
      <c r="S126" s="824"/>
      <c r="T126" s="825"/>
      <c r="U126" s="824"/>
      <c r="V126" s="824"/>
      <c r="W126" s="36"/>
      <c r="X126" s="36"/>
      <c r="Y126" s="864"/>
      <c r="Z126" s="36"/>
      <c r="AA126" s="863"/>
    </row>
    <row r="127" spans="1:27" ht="12.75">
      <c r="A127" s="831"/>
      <c r="B127" s="130"/>
      <c r="C127" s="36"/>
      <c r="D127" s="1034"/>
      <c r="E127" s="1034"/>
      <c r="F127" s="1034"/>
      <c r="G127" s="817"/>
      <c r="H127" s="143"/>
      <c r="I127" s="818"/>
      <c r="J127" s="145"/>
      <c r="K127" s="162"/>
      <c r="L127" s="817"/>
      <c r="M127" s="143"/>
      <c r="N127" s="817"/>
      <c r="O127" s="131"/>
      <c r="P127" s="36"/>
      <c r="Q127" s="132"/>
      <c r="R127" s="36"/>
      <c r="S127" s="824">
        <f>IF(OR(D127=$X$125,D127=$X$127,D127=$X$129),1,0)</f>
        <v>0</v>
      </c>
      <c r="T127" s="825">
        <f>IF(OR(H127=$Y$125,H127=$Y$127,H127=$Y$129),1,0)</f>
        <v>0</v>
      </c>
      <c r="U127" s="824">
        <f>IF(OR(K127=$Z$125,K127=$Z$127),1,0)</f>
        <v>0</v>
      </c>
      <c r="V127" s="824">
        <f>IF(OR(M127=$AA$125,M127=$AA$127),1,0)</f>
        <v>0</v>
      </c>
      <c r="W127" s="36"/>
      <c r="X127" s="36" t="str">
        <f>IF('[2]E-ErgInt'!D127="","",'[2]E-ErgInt'!D127)</f>
        <v>Gebäude und bauliche Anlagen</v>
      </c>
      <c r="Y127" s="864">
        <f>IF('[2]E-ErgInt'!H127="","",'[2]E-ErgInt'!H127)</f>
        <v>145614.775</v>
      </c>
      <c r="Z127" s="36" t="str">
        <f>IF('[2]E-ErgInt'!$K$127="","",'[2]E-ErgInt'!$K$127)</f>
        <v>Darlehen</v>
      </c>
      <c r="AA127" s="863">
        <f>IF('[2]E-ErgInt'!M127="","",'[2]E-ErgInt'!M127)</f>
        <v>3460</v>
      </c>
    </row>
    <row r="128" spans="1:27" ht="3.75" customHeight="1">
      <c r="A128" s="831"/>
      <c r="B128" s="130"/>
      <c r="C128" s="36"/>
      <c r="D128" s="36"/>
      <c r="E128" s="36"/>
      <c r="F128" s="36"/>
      <c r="G128" s="817"/>
      <c r="H128" s="36"/>
      <c r="I128" s="818"/>
      <c r="J128" s="145"/>
      <c r="K128" s="36"/>
      <c r="L128" s="817"/>
      <c r="M128" s="36"/>
      <c r="N128" s="817"/>
      <c r="O128" s="131"/>
      <c r="P128" s="36"/>
      <c r="Q128" s="132"/>
      <c r="R128" s="36"/>
      <c r="S128" s="824"/>
      <c r="T128" s="825"/>
      <c r="U128" s="824"/>
      <c r="V128" s="824"/>
      <c r="W128" s="36"/>
      <c r="X128" s="36"/>
      <c r="Y128" s="864"/>
      <c r="Z128" s="36"/>
      <c r="AA128" s="863"/>
    </row>
    <row r="129" spans="1:27" ht="12.75">
      <c r="A129" s="831"/>
      <c r="B129" s="130"/>
      <c r="C129" s="36"/>
      <c r="D129" s="1034"/>
      <c r="E129" s="1034"/>
      <c r="F129" s="1034"/>
      <c r="G129" s="817"/>
      <c r="H129" s="143"/>
      <c r="I129" s="818"/>
      <c r="J129" s="145"/>
      <c r="K129" s="36"/>
      <c r="L129" s="817"/>
      <c r="M129" s="36"/>
      <c r="N129" s="817"/>
      <c r="O129" s="131"/>
      <c r="P129" s="36"/>
      <c r="Q129" s="132"/>
      <c r="R129" s="36"/>
      <c r="S129" s="824">
        <f>IF(OR(D129=$X$125,D129=$X$127,D129=$X$129),1,0)</f>
        <v>0</v>
      </c>
      <c r="T129" s="825">
        <f>IF(OR(H129=$Y$125,H129=$Y$127,H129=$Y$129),1,0)</f>
        <v>0</v>
      </c>
      <c r="U129" s="824"/>
      <c r="V129" s="824"/>
      <c r="W129" s="36"/>
      <c r="X129" s="36" t="str">
        <f>IF('[2]E-ErgInt'!D129="","",'[2]E-ErgInt'!D129)</f>
        <v>Maschinen und Geräte</v>
      </c>
      <c r="Y129" s="864">
        <f>IF('[2]E-ErgInt'!H129="","",'[2]E-ErgInt'!H129)</f>
        <v>7277.1369047619055</v>
      </c>
      <c r="Z129" s="36"/>
      <c r="AA129" s="863"/>
    </row>
    <row r="130" spans="1:27" ht="12.75">
      <c r="A130" s="831"/>
      <c r="B130" s="130"/>
      <c r="C130" s="36"/>
      <c r="D130" s="36" t="s">
        <v>84</v>
      </c>
      <c r="E130" s="36"/>
      <c r="F130" s="36"/>
      <c r="G130" s="817"/>
      <c r="H130" s="36"/>
      <c r="I130" s="818"/>
      <c r="J130" s="145"/>
      <c r="K130" s="36"/>
      <c r="L130" s="817"/>
      <c r="M130" s="36"/>
      <c r="N130" s="817"/>
      <c r="O130" s="131"/>
      <c r="P130" s="36"/>
      <c r="Q130" s="132"/>
      <c r="R130" s="36"/>
      <c r="S130" s="865" t="s">
        <v>542</v>
      </c>
      <c r="T130" s="825"/>
      <c r="U130" s="824"/>
      <c r="V130" s="824"/>
      <c r="W130" s="36"/>
      <c r="X130" s="92" t="s">
        <v>84</v>
      </c>
      <c r="Y130" s="864"/>
      <c r="Z130" s="36"/>
      <c r="AA130" s="863"/>
    </row>
    <row r="131" spans="1:27" ht="12.75">
      <c r="A131" s="831"/>
      <c r="B131" s="130"/>
      <c r="C131" s="36"/>
      <c r="D131" s="1034"/>
      <c r="E131" s="1034"/>
      <c r="F131" s="1034"/>
      <c r="G131" s="817"/>
      <c r="H131" s="143"/>
      <c r="I131" s="818"/>
      <c r="J131" s="145"/>
      <c r="K131" s="36"/>
      <c r="L131" s="817"/>
      <c r="M131" s="36"/>
      <c r="N131" s="817"/>
      <c r="O131" s="131"/>
      <c r="P131" s="36"/>
      <c r="Q131" s="132"/>
      <c r="R131" s="36"/>
      <c r="S131" s="824">
        <f>IF(OR(D131=$X$131,D131=$X$133,D131=$X$135,D131=$X$137,D131=$X$139,D131=$X$141,D131=$X$143),1,0)</f>
        <v>0</v>
      </c>
      <c r="T131" s="825">
        <f>IF(OR(H131=$Y$131,H131=$Y$133,H131=$Y$135,H131=$Y$137,H131=$Y$139,H131=$Y$141,H131=$Y$143),1,0)</f>
        <v>0</v>
      </c>
      <c r="U131" s="824"/>
      <c r="V131" s="824"/>
      <c r="W131" s="36"/>
      <c r="X131" s="36" t="str">
        <f>IF('[2]E-ErgInt'!D131="","",'[2]E-ErgInt'!D131)</f>
        <v>RINDER</v>
      </c>
      <c r="Y131" s="864">
        <f>IF('[2]E-ErgInt'!H131="","",'[2]E-ErgInt'!H131)</f>
        <v>9612</v>
      </c>
      <c r="Z131" s="36"/>
      <c r="AA131" s="863"/>
    </row>
    <row r="132" spans="1:27" ht="3.75" customHeight="1">
      <c r="A132" s="831"/>
      <c r="B132" s="130"/>
      <c r="C132" s="36"/>
      <c r="D132" s="36"/>
      <c r="E132" s="36"/>
      <c r="F132" s="36"/>
      <c r="G132" s="817"/>
      <c r="H132" s="36"/>
      <c r="I132" s="818"/>
      <c r="J132" s="145"/>
      <c r="K132" s="36"/>
      <c r="L132" s="817"/>
      <c r="M132" s="36"/>
      <c r="N132" s="817"/>
      <c r="O132" s="131"/>
      <c r="P132" s="36"/>
      <c r="Q132" s="132"/>
      <c r="R132" s="36"/>
      <c r="S132" s="824"/>
      <c r="T132" s="825"/>
      <c r="U132" s="824"/>
      <c r="V132" s="824"/>
      <c r="W132" s="36"/>
      <c r="X132" s="36"/>
      <c r="Y132" s="864"/>
      <c r="Z132" s="36"/>
      <c r="AA132" s="863"/>
    </row>
    <row r="133" spans="1:27" ht="12.75">
      <c r="A133" s="831"/>
      <c r="B133" s="130"/>
      <c r="C133" s="36"/>
      <c r="D133" s="1034"/>
      <c r="E133" s="1034"/>
      <c r="F133" s="1034"/>
      <c r="G133" s="817"/>
      <c r="H133" s="143"/>
      <c r="I133" s="818"/>
      <c r="J133" s="145"/>
      <c r="K133" s="36"/>
      <c r="L133" s="817"/>
      <c r="M133" s="36"/>
      <c r="N133" s="817"/>
      <c r="O133" s="131"/>
      <c r="P133" s="36"/>
      <c r="Q133" s="132"/>
      <c r="R133" s="36"/>
      <c r="S133" s="824">
        <f>IF(OR(D133=$X$131,D133=$X$133,D133=$X$135,D133=$X$137,D133=$X$139,D133=$X$141,D133=$X$143),1,0)</f>
        <v>0</v>
      </c>
      <c r="T133" s="825">
        <f>IF(OR(H133=$Y$131,H133=$Y$133,H133=$Y$135,H133=$Y$137,H133=$Y$139,H133=$Y$141,H133=$Y$143),1,0)</f>
        <v>0</v>
      </c>
      <c r="U133" s="824"/>
      <c r="V133" s="824"/>
      <c r="W133" s="36"/>
      <c r="X133" s="36" t="str">
        <f>IF('[2]E-ErgInt'!D133="","",'[2]E-ErgInt'!D133)</f>
        <v>SCHWEINE</v>
      </c>
      <c r="Y133" s="864">
        <f>IF('[2]E-ErgInt'!H133="","",'[2]E-ErgInt'!H133)</f>
        <v>660</v>
      </c>
      <c r="Z133" s="36"/>
      <c r="AA133" s="863"/>
    </row>
    <row r="134" spans="1:27" ht="3.75" customHeight="1">
      <c r="A134" s="831"/>
      <c r="B134" s="130"/>
      <c r="C134" s="36"/>
      <c r="D134" s="36"/>
      <c r="E134" s="36"/>
      <c r="F134" s="36"/>
      <c r="G134" s="817"/>
      <c r="H134" s="36"/>
      <c r="I134" s="818"/>
      <c r="J134" s="145"/>
      <c r="K134" s="36"/>
      <c r="L134" s="817"/>
      <c r="M134" s="36"/>
      <c r="N134" s="817"/>
      <c r="O134" s="131"/>
      <c r="P134" s="36"/>
      <c r="Q134" s="132"/>
      <c r="R134" s="36"/>
      <c r="S134" s="824"/>
      <c r="T134" s="825"/>
      <c r="U134" s="824"/>
      <c r="V134" s="824"/>
      <c r="W134" s="36"/>
      <c r="X134" s="36"/>
      <c r="Y134" s="864"/>
      <c r="Z134" s="36"/>
      <c r="AA134" s="863"/>
    </row>
    <row r="135" spans="1:27" ht="12.75">
      <c r="A135" s="831"/>
      <c r="B135" s="130"/>
      <c r="C135" s="36"/>
      <c r="D135" s="1034"/>
      <c r="E135" s="1034"/>
      <c r="F135" s="1034"/>
      <c r="G135" s="817"/>
      <c r="H135" s="143"/>
      <c r="I135" s="818"/>
      <c r="J135" s="145"/>
      <c r="K135" s="36"/>
      <c r="L135" s="817"/>
      <c r="M135" s="163"/>
      <c r="N135" s="817"/>
      <c r="O135" s="131"/>
      <c r="P135" s="36"/>
      <c r="Q135" s="132"/>
      <c r="R135" s="36"/>
      <c r="S135" s="824">
        <f>IF(OR(D135=$X$131,D135=$X$133,D135=$X$135,D135=$X$137,D135=$X$139,D135=$X$141,D135=$X$143),1,0)</f>
        <v>0</v>
      </c>
      <c r="T135" s="825">
        <f>IF(OR(H135=$Y$131,H135=$Y$133,H135=$Y$135,H135=$Y$137,H135=$Y$139,H135=$Y$141,H135=$Y$143),1,0)</f>
        <v>0</v>
      </c>
      <c r="U135" s="824"/>
      <c r="V135" s="824"/>
      <c r="W135" s="36"/>
      <c r="X135" s="36" t="str">
        <f>IF('[2]E-ErgInt'!D135="","",'[2]E-ErgInt'!D135)</f>
        <v>Selbst erzeugte Vorräte</v>
      </c>
      <c r="Y135" s="864">
        <f>IF('[2]E-ErgInt'!H135="","",'[2]E-ErgInt'!H135)</f>
        <v>105.31000000000002</v>
      </c>
      <c r="Z135" s="36"/>
      <c r="AA135" s="863"/>
    </row>
    <row r="136" spans="1:27" ht="3.75" customHeight="1">
      <c r="A136" s="831"/>
      <c r="B136" s="130"/>
      <c r="C136" s="36"/>
      <c r="D136" s="36"/>
      <c r="E136" s="36"/>
      <c r="F136" s="36"/>
      <c r="G136" s="817"/>
      <c r="H136" s="36"/>
      <c r="I136" s="818"/>
      <c r="J136" s="145"/>
      <c r="K136" s="36"/>
      <c r="L136" s="817"/>
      <c r="M136" s="36"/>
      <c r="N136" s="817"/>
      <c r="O136" s="131"/>
      <c r="P136" s="36"/>
      <c r="Q136" s="132"/>
      <c r="R136" s="36"/>
      <c r="S136" s="824"/>
      <c r="T136" s="825"/>
      <c r="U136" s="824"/>
      <c r="V136" s="824"/>
      <c r="W136" s="36"/>
      <c r="X136" s="36"/>
      <c r="Y136" s="864"/>
      <c r="Z136" s="36"/>
      <c r="AA136" s="863"/>
    </row>
    <row r="137" spans="1:27" ht="12.75">
      <c r="A137" s="831"/>
      <c r="B137" s="130"/>
      <c r="C137" s="36"/>
      <c r="D137" s="1034"/>
      <c r="E137" s="1034"/>
      <c r="F137" s="1034"/>
      <c r="G137" s="817"/>
      <c r="H137" s="143"/>
      <c r="I137" s="818"/>
      <c r="J137" s="145"/>
      <c r="K137" s="36"/>
      <c r="L137" s="817"/>
      <c r="M137" s="36"/>
      <c r="N137" s="817"/>
      <c r="O137" s="131"/>
      <c r="P137" s="36"/>
      <c r="Q137" s="132"/>
      <c r="R137" s="36"/>
      <c r="S137" s="824">
        <f>IF(OR(D137=$X$131,D137=$X$133,D137=$X$135,D137=$X$137,D137=$X$139,D137=$X$141,D137=$X$143),1,0)</f>
        <v>0</v>
      </c>
      <c r="T137" s="825">
        <f>IF(OR(H137=$Y$131,H137=$Y$133,H137=$Y$135,H137=$Y$137,H137=$Y$139,H137=$Y$141,H137=$Y$143),1,0)</f>
        <v>0</v>
      </c>
      <c r="U137" s="824"/>
      <c r="V137" s="824"/>
      <c r="W137" s="36"/>
      <c r="X137" s="36" t="str">
        <f>IF('[2]E-ErgInt'!D137="","",'[2]E-ErgInt'!D137)</f>
        <v>Zugekaufte Vorräte</v>
      </c>
      <c r="Y137" s="864">
        <f>IF('[2]E-ErgInt'!H137="","",'[2]E-ErgInt'!H137)</f>
        <v>118.57000000000001</v>
      </c>
      <c r="Z137" s="36"/>
      <c r="AA137" s="863"/>
    </row>
    <row r="138" spans="1:27" ht="3.75" customHeight="1">
      <c r="A138" s="831"/>
      <c r="B138" s="130"/>
      <c r="C138" s="36"/>
      <c r="D138" s="36"/>
      <c r="E138" s="36"/>
      <c r="F138" s="36"/>
      <c r="G138" s="817"/>
      <c r="H138" s="36"/>
      <c r="I138" s="818"/>
      <c r="J138" s="145"/>
      <c r="K138" s="36"/>
      <c r="L138" s="817"/>
      <c r="M138" s="36"/>
      <c r="N138" s="817"/>
      <c r="O138" s="131"/>
      <c r="P138" s="36"/>
      <c r="Q138" s="132"/>
      <c r="R138" s="36"/>
      <c r="S138" s="824"/>
      <c r="T138" s="825"/>
      <c r="U138" s="824"/>
      <c r="V138" s="824"/>
      <c r="W138" s="36"/>
      <c r="X138" s="36"/>
      <c r="Y138" s="864"/>
      <c r="Z138" s="36"/>
      <c r="AA138" s="863"/>
    </row>
    <row r="139" spans="1:27" ht="12.75">
      <c r="A139" s="831"/>
      <c r="B139" s="130"/>
      <c r="C139" s="36"/>
      <c r="D139" s="1034"/>
      <c r="E139" s="1034"/>
      <c r="F139" s="1034"/>
      <c r="G139" s="817"/>
      <c r="H139" s="143"/>
      <c r="I139" s="818"/>
      <c r="J139" s="145"/>
      <c r="K139" s="36"/>
      <c r="L139" s="817"/>
      <c r="M139" s="36"/>
      <c r="N139" s="817"/>
      <c r="O139" s="131"/>
      <c r="P139" s="36"/>
      <c r="Q139" s="132"/>
      <c r="R139" s="36"/>
      <c r="S139" s="824">
        <f>IF(OR(D139=$X$131,D139=$X$133,D139=$X$135,D139=$X$137,D139=$X$139,D139=$X$141,D139=$X$143),1,0)</f>
        <v>0</v>
      </c>
      <c r="T139" s="825">
        <f>IF(OR(H139=$Y$131,H139=$Y$133,H139=$Y$135,H139=$Y$137,H139=$Y$139,H139=$Y$141,H139=$Y$143),1,0)</f>
        <v>0</v>
      </c>
      <c r="U139" s="824"/>
      <c r="V139" s="824"/>
      <c r="W139" s="36"/>
      <c r="X139" s="36" t="str">
        <f>IF('[2]E-ErgInt'!D139="","",'[2]E-ErgInt'!D139)</f>
        <v>Kassa</v>
      </c>
      <c r="Y139" s="864">
        <f>IF('[2]E-ErgInt'!H139="","",'[2]E-ErgInt'!H139)</f>
        <v>1265</v>
      </c>
      <c r="Z139" s="36"/>
      <c r="AA139" s="863"/>
    </row>
    <row r="140" spans="1:27" ht="3.75" customHeight="1">
      <c r="A140" s="831"/>
      <c r="B140" s="130"/>
      <c r="C140" s="36"/>
      <c r="D140" s="36"/>
      <c r="E140" s="36"/>
      <c r="F140" s="36"/>
      <c r="G140" s="817"/>
      <c r="H140" s="36"/>
      <c r="I140" s="818"/>
      <c r="J140" s="145"/>
      <c r="K140" s="36"/>
      <c r="L140" s="817"/>
      <c r="M140" s="36"/>
      <c r="N140" s="817"/>
      <c r="O140" s="131"/>
      <c r="P140" s="36"/>
      <c r="Q140" s="132"/>
      <c r="R140" s="36"/>
      <c r="S140" s="824"/>
      <c r="T140" s="825"/>
      <c r="U140" s="824"/>
      <c r="V140" s="824"/>
      <c r="W140" s="36"/>
      <c r="X140" s="36"/>
      <c r="Y140" s="864"/>
      <c r="Z140" s="36"/>
      <c r="AA140" s="863"/>
    </row>
    <row r="141" spans="1:27" ht="12.75">
      <c r="A141" s="831"/>
      <c r="B141" s="130"/>
      <c r="C141" s="36"/>
      <c r="D141" s="1034"/>
      <c r="E141" s="1034"/>
      <c r="F141" s="1034"/>
      <c r="G141" s="817"/>
      <c r="H141" s="143"/>
      <c r="I141" s="818"/>
      <c r="J141" s="145"/>
      <c r="K141" s="36"/>
      <c r="L141" s="817"/>
      <c r="M141" s="36"/>
      <c r="N141" s="817"/>
      <c r="O141" s="131"/>
      <c r="P141" s="36"/>
      <c r="Q141" s="132"/>
      <c r="R141" s="36"/>
      <c r="S141" s="824">
        <f>IF(OR(D141=$X$131,D141=$X$133,D141=$X$135,D141=$X$137,D141=$X$139,D141=$X$141,D141=$X$143),1,0)</f>
        <v>0</v>
      </c>
      <c r="T141" s="825">
        <f>IF(OR(H141=$Y$131,H141=$Y$133,H141=$Y$135,H141=$Y$137,H141=$Y$139,H141=$Y$141,H141=$Y$143),1,0)</f>
        <v>0</v>
      </c>
      <c r="U141" s="824"/>
      <c r="V141" s="824"/>
      <c r="W141" s="36"/>
      <c r="X141" s="36" t="str">
        <f>IF('[2]E-ErgInt'!D141="","",'[2]E-ErgInt'!D141)</f>
        <v>Girokonto</v>
      </c>
      <c r="Y141" s="864">
        <f>IF('[2]E-ErgInt'!H141="","",'[2]E-ErgInt'!H141)</f>
        <v>4300</v>
      </c>
      <c r="Z141" s="36"/>
      <c r="AA141" s="863"/>
    </row>
    <row r="142" spans="1:27" ht="3.75" customHeight="1">
      <c r="A142" s="831"/>
      <c r="B142" s="130"/>
      <c r="C142" s="36"/>
      <c r="D142" s="36"/>
      <c r="E142" s="36"/>
      <c r="F142" s="36"/>
      <c r="G142" s="817"/>
      <c r="H142" s="36"/>
      <c r="I142" s="818"/>
      <c r="J142" s="145"/>
      <c r="K142" s="36"/>
      <c r="L142" s="817"/>
      <c r="M142" s="36"/>
      <c r="N142" s="817"/>
      <c r="O142" s="131"/>
      <c r="P142" s="36"/>
      <c r="Q142" s="132"/>
      <c r="R142" s="36"/>
      <c r="S142" s="824"/>
      <c r="T142" s="825"/>
      <c r="U142" s="824"/>
      <c r="V142" s="824"/>
      <c r="W142" s="36"/>
      <c r="X142" s="36"/>
      <c r="Y142" s="864"/>
      <c r="Z142" s="36"/>
      <c r="AA142" s="863"/>
    </row>
    <row r="143" spans="1:27" ht="12.75">
      <c r="A143" s="831"/>
      <c r="B143" s="130"/>
      <c r="C143" s="36"/>
      <c r="D143" s="1034"/>
      <c r="E143" s="1034"/>
      <c r="F143" s="1034"/>
      <c r="G143" s="817"/>
      <c r="H143" s="143"/>
      <c r="I143" s="818"/>
      <c r="J143" s="145"/>
      <c r="K143" s="36" t="s">
        <v>146</v>
      </c>
      <c r="L143" s="817"/>
      <c r="M143" s="164"/>
      <c r="N143" s="817"/>
      <c r="O143" s="131"/>
      <c r="P143" s="36"/>
      <c r="Q143" s="132"/>
      <c r="R143" s="36"/>
      <c r="S143" s="824">
        <f>IF(OR(D143=$X$131,D143=$X$133,D143=$X$135,D143=$X$137,D143=$X$139,D143=$X$141,D143=$X$143),1,0)</f>
        <v>0</v>
      </c>
      <c r="T143" s="825">
        <f>IF(OR(H143=$Y$131,H143=$Y$133,H143=$Y$135,H143=$Y$137,H143=$Y$139,H143=$Y$141,H143=$Y$143),1,0)</f>
        <v>0</v>
      </c>
      <c r="U143" s="824" t="s">
        <v>543</v>
      </c>
      <c r="V143" s="824">
        <f>IF(M143=AA143,1,0)</f>
        <v>0</v>
      </c>
      <c r="W143" s="36"/>
      <c r="X143" s="36" t="str">
        <f>IF('[2]E-ErgInt'!D143="","",'[2]E-ErgInt'!D143)</f>
        <v>Offene Forderungen: Lagerhaus</v>
      </c>
      <c r="Y143" s="864">
        <f>IF('[2]E-ErgInt'!H143="","",'[2]E-ErgInt'!H143)</f>
        <v>789</v>
      </c>
      <c r="Z143" s="36" t="s">
        <v>146</v>
      </c>
      <c r="AA143" s="863">
        <f>AA146-SUM(AA125:AA127)</f>
        <v>165302.7919047619</v>
      </c>
    </row>
    <row r="144" spans="1:27" ht="3.75" customHeight="1">
      <c r="A144" s="831"/>
      <c r="B144" s="130"/>
      <c r="C144" s="36"/>
      <c r="D144" s="36"/>
      <c r="E144" s="36"/>
      <c r="F144" s="36"/>
      <c r="G144" s="36"/>
      <c r="H144" s="36"/>
      <c r="I144" s="818"/>
      <c r="J144" s="145"/>
      <c r="K144" s="36"/>
      <c r="L144" s="817"/>
      <c r="M144" s="36"/>
      <c r="N144" s="817"/>
      <c r="O144" s="131"/>
      <c r="P144" s="36"/>
      <c r="Q144" s="132"/>
      <c r="R144" s="36"/>
      <c r="S144" s="866"/>
      <c r="T144" s="825"/>
      <c r="U144" s="866"/>
      <c r="V144" s="866"/>
      <c r="W144" s="36"/>
      <c r="X144" s="36"/>
      <c r="Y144" s="864"/>
      <c r="Z144" s="36"/>
      <c r="AA144" s="863"/>
    </row>
    <row r="145" spans="1:27" ht="3.75" customHeight="1">
      <c r="A145" s="831"/>
      <c r="B145" s="130"/>
      <c r="C145" s="36"/>
      <c r="D145" s="165"/>
      <c r="E145" s="165"/>
      <c r="F145" s="165"/>
      <c r="G145" s="165"/>
      <c r="H145" s="165"/>
      <c r="I145" s="819"/>
      <c r="J145" s="165"/>
      <c r="K145" s="165"/>
      <c r="L145" s="820"/>
      <c r="M145" s="165"/>
      <c r="N145" s="817"/>
      <c r="O145" s="131"/>
      <c r="P145" s="36"/>
      <c r="Q145" s="132"/>
      <c r="R145" s="36"/>
      <c r="S145" s="866"/>
      <c r="T145" s="825"/>
      <c r="U145" s="866"/>
      <c r="V145" s="824"/>
      <c r="W145" s="36"/>
      <c r="X145" s="36"/>
      <c r="Y145" s="864"/>
      <c r="Z145" s="36"/>
      <c r="AA145" s="863"/>
    </row>
    <row r="146" spans="1:27" ht="13.5" thickBot="1">
      <c r="A146" s="831"/>
      <c r="B146" s="130"/>
      <c r="C146" s="36"/>
      <c r="D146" s="144" t="s">
        <v>147</v>
      </c>
      <c r="E146" s="144"/>
      <c r="F146" s="144"/>
      <c r="G146" s="144"/>
      <c r="H146" s="148"/>
      <c r="I146" s="818"/>
      <c r="J146" s="144"/>
      <c r="K146" s="144" t="s">
        <v>148</v>
      </c>
      <c r="L146" s="821"/>
      <c r="M146" s="148"/>
      <c r="N146" s="817"/>
      <c r="O146" s="131"/>
      <c r="P146" s="36"/>
      <c r="Q146" s="132"/>
      <c r="R146" s="36"/>
      <c r="S146" s="867" t="s">
        <v>592</v>
      </c>
      <c r="T146" s="868">
        <f>IF(H146=Y146,1,0)</f>
        <v>0</v>
      </c>
      <c r="U146" s="867" t="s">
        <v>593</v>
      </c>
      <c r="V146" s="869">
        <f>IF(M146=AA146,1,0)</f>
        <v>0</v>
      </c>
      <c r="W146" s="36"/>
      <c r="X146" s="870" t="s">
        <v>544</v>
      </c>
      <c r="Y146" s="871">
        <f>SUM(Y125:Y143)</f>
        <v>169742.7919047619</v>
      </c>
      <c r="Z146" s="870" t="s">
        <v>545</v>
      </c>
      <c r="AA146" s="872">
        <f>Y146</f>
        <v>169742.7919047619</v>
      </c>
    </row>
    <row r="147" spans="1:27" ht="3.75" customHeight="1" thickBot="1" thickTop="1">
      <c r="A147" s="831"/>
      <c r="B147" s="130"/>
      <c r="C147" s="36"/>
      <c r="D147" s="166"/>
      <c r="E147" s="166"/>
      <c r="F147" s="166"/>
      <c r="G147" s="166"/>
      <c r="H147" s="166"/>
      <c r="I147" s="167"/>
      <c r="J147" s="166"/>
      <c r="K147" s="166"/>
      <c r="L147" s="166"/>
      <c r="M147" s="166"/>
      <c r="N147" s="36"/>
      <c r="O147" s="131"/>
      <c r="P147" s="36"/>
      <c r="Q147" s="132"/>
      <c r="R147" s="36"/>
      <c r="S147" s="36"/>
      <c r="T147" s="36"/>
      <c r="U147" s="36"/>
      <c r="V147" s="36"/>
      <c r="W147" s="36"/>
      <c r="X147" s="36"/>
      <c r="Y147" s="36"/>
      <c r="Z147" s="36"/>
      <c r="AA147" s="36"/>
    </row>
    <row r="148" spans="1:27" ht="13.5" thickTop="1">
      <c r="A148" s="831"/>
      <c r="B148" s="130"/>
      <c r="C148" s="36"/>
      <c r="D148" s="36"/>
      <c r="E148" s="36"/>
      <c r="F148" s="36"/>
      <c r="G148" s="36"/>
      <c r="H148" s="36"/>
      <c r="I148" s="36"/>
      <c r="J148" s="36"/>
      <c r="K148" s="36"/>
      <c r="L148" s="36"/>
      <c r="M148" s="36"/>
      <c r="N148" s="36"/>
      <c r="O148" s="131"/>
      <c r="P148" s="36"/>
      <c r="Q148" s="132"/>
      <c r="R148" s="36"/>
      <c r="S148" s="36"/>
      <c r="T148" s="36"/>
      <c r="U148" s="36"/>
      <c r="V148" s="36"/>
      <c r="W148" s="36"/>
      <c r="X148" s="36"/>
      <c r="Y148" s="36"/>
      <c r="Z148" s="36"/>
      <c r="AA148" s="36"/>
    </row>
    <row r="149" spans="1:27" ht="12.75" customHeight="1">
      <c r="A149" s="36"/>
      <c r="B149" s="130"/>
      <c r="C149" s="36"/>
      <c r="D149" s="36"/>
      <c r="E149" s="36"/>
      <c r="F149" s="36"/>
      <c r="G149" s="36"/>
      <c r="H149" s="36"/>
      <c r="I149" s="36"/>
      <c r="J149" s="36"/>
      <c r="K149" s="36"/>
      <c r="L149" s="36"/>
      <c r="M149" s="36"/>
      <c r="N149" s="36"/>
      <c r="O149" s="149"/>
      <c r="P149" s="36"/>
      <c r="Q149" s="36"/>
      <c r="R149" s="36"/>
      <c r="S149" s="36"/>
      <c r="T149" s="36"/>
      <c r="U149" s="36"/>
      <c r="V149" s="36"/>
      <c r="W149" s="36"/>
      <c r="X149" s="36"/>
      <c r="Y149" s="36"/>
      <c r="Z149" s="36"/>
      <c r="AA149" s="36"/>
    </row>
    <row r="150" spans="1:27" s="1" customFormat="1" ht="12.75">
      <c r="A150" s="831"/>
      <c r="B150" s="130"/>
      <c r="C150" s="92" t="s">
        <v>17</v>
      </c>
      <c r="D150" s="92" t="s">
        <v>546</v>
      </c>
      <c r="E150" s="36"/>
      <c r="F150" s="36"/>
      <c r="G150" s="36"/>
      <c r="H150" s="36"/>
      <c r="I150" s="36"/>
      <c r="J150" s="36"/>
      <c r="K150" s="36"/>
      <c r="L150" s="36"/>
      <c r="M150" s="36"/>
      <c r="N150" s="36"/>
      <c r="O150" s="149"/>
      <c r="P150" s="36"/>
      <c r="Q150" s="132"/>
      <c r="R150" s="36"/>
      <c r="S150" s="36"/>
      <c r="T150" s="36"/>
      <c r="U150" s="36"/>
      <c r="V150" s="36"/>
      <c r="W150" s="36"/>
      <c r="X150" s="36"/>
      <c r="Y150" s="36"/>
      <c r="Z150" s="36"/>
      <c r="AA150" s="36"/>
    </row>
    <row r="151" spans="1:27" s="1" customFormat="1" ht="12.75" customHeight="1">
      <c r="A151" s="831"/>
      <c r="B151" s="130"/>
      <c r="C151" s="36"/>
      <c r="D151" s="36" t="s">
        <v>117</v>
      </c>
      <c r="E151" s="36" t="s">
        <v>594</v>
      </c>
      <c r="F151" s="36"/>
      <c r="G151" s="36"/>
      <c r="H151" s="36"/>
      <c r="I151" s="36"/>
      <c r="J151" s="36"/>
      <c r="K151" s="36"/>
      <c r="L151" s="36"/>
      <c r="M151" s="36"/>
      <c r="N151" s="36"/>
      <c r="O151" s="149"/>
      <c r="P151" s="36"/>
      <c r="Q151" s="36"/>
      <c r="R151" s="36"/>
      <c r="S151" s="873" t="s">
        <v>547</v>
      </c>
      <c r="T151" s="832"/>
      <c r="U151" s="832"/>
      <c r="V151" s="832"/>
      <c r="W151" s="36"/>
      <c r="X151" s="36"/>
      <c r="Y151" s="36"/>
      <c r="Z151" s="36"/>
      <c r="AA151" s="36"/>
    </row>
    <row r="152" spans="1:27" s="1" customFormat="1" ht="12.75" customHeight="1">
      <c r="A152" s="831"/>
      <c r="B152" s="130"/>
      <c r="C152" s="137"/>
      <c r="D152" s="36"/>
      <c r="E152" s="141"/>
      <c r="F152" s="874" t="str">
        <f>IF(S152="","",S152)</f>
        <v>BEZIRKSGERICHT Imst, GRUNDBUCH 02567 Roppen</v>
      </c>
      <c r="G152" s="852"/>
      <c r="H152" s="852"/>
      <c r="I152" s="852"/>
      <c r="J152" s="852"/>
      <c r="K152" s="852"/>
      <c r="L152" s="852"/>
      <c r="M152" s="852"/>
      <c r="N152" s="36"/>
      <c r="O152" s="135">
        <f>IF(AND(E152='[2]E-ErgInt'!E152,E154='[2]E-ErgInt'!E154,E156='[2]E-ErgInt'!E156,E158='[2]E-ErgInt'!E158),Q152,"")</f>
      </c>
      <c r="P152" s="36" t="s">
        <v>107</v>
      </c>
      <c r="Q152" s="132">
        <v>1</v>
      </c>
      <c r="R152" s="36"/>
      <c r="S152" s="36" t="str">
        <f>IF('[2]E-ErgInt'!S152="","",'[2]E-ErgInt'!S152)</f>
        <v>BEZIRKSGERICHT Imst, GRUNDBUCH 02567 Roppen</v>
      </c>
      <c r="T152" s="36"/>
      <c r="U152" s="36"/>
      <c r="V152" s="36"/>
      <c r="W152" s="36"/>
      <c r="X152" s="36"/>
      <c r="Y152" s="36"/>
      <c r="Z152" s="36"/>
      <c r="AA152" s="36"/>
    </row>
    <row r="153" spans="1:27" s="1" customFormat="1" ht="3.75" customHeight="1">
      <c r="A153" s="831"/>
      <c r="B153" s="130"/>
      <c r="C153" s="137"/>
      <c r="D153" s="36"/>
      <c r="E153" s="875"/>
      <c r="F153" s="876"/>
      <c r="G153" s="852"/>
      <c r="H153" s="852"/>
      <c r="I153" s="852"/>
      <c r="J153" s="852"/>
      <c r="K153" s="852"/>
      <c r="L153" s="852"/>
      <c r="M153" s="852"/>
      <c r="N153" s="36"/>
      <c r="O153" s="149"/>
      <c r="P153" s="36"/>
      <c r="Q153" s="36"/>
      <c r="R153" s="36"/>
      <c r="S153" s="36"/>
      <c r="T153" s="36"/>
      <c r="U153" s="36"/>
      <c r="V153" s="36"/>
      <c r="W153" s="36"/>
      <c r="X153" s="36"/>
      <c r="Y153" s="36"/>
      <c r="Z153" s="36"/>
      <c r="AA153" s="36"/>
    </row>
    <row r="154" spans="1:27" s="1" customFormat="1" ht="12.75" customHeight="1">
      <c r="A154" s="831"/>
      <c r="B154" s="130"/>
      <c r="C154" s="137"/>
      <c r="D154" s="36"/>
      <c r="E154" s="141"/>
      <c r="F154" s="874" t="str">
        <f>IF(S154="","",S154)</f>
        <v>BEZIRKSGERICHT Imst, GRUNDBUCH 02345 Mils</v>
      </c>
      <c r="G154" s="852"/>
      <c r="H154" s="852"/>
      <c r="I154" s="852"/>
      <c r="J154" s="852"/>
      <c r="K154" s="852"/>
      <c r="L154" s="852"/>
      <c r="M154" s="852"/>
      <c r="N154" s="36"/>
      <c r="O154" s="149"/>
      <c r="P154" s="36"/>
      <c r="Q154" s="36"/>
      <c r="R154" s="36"/>
      <c r="S154" s="877" t="str">
        <f>IF('[2]E-ErgInt'!S154="","",'[2]E-ErgInt'!S154)</f>
        <v>BEZIRKSGERICHT Imst, GRUNDBUCH 02345 Mils</v>
      </c>
      <c r="T154" s="849"/>
      <c r="U154" s="849"/>
      <c r="V154" s="849"/>
      <c r="W154" s="36"/>
      <c r="X154" s="36"/>
      <c r="Y154" s="36"/>
      <c r="Z154" s="36"/>
      <c r="AA154" s="36"/>
    </row>
    <row r="155" spans="1:27" s="1" customFormat="1" ht="3.75" customHeight="1">
      <c r="A155" s="831"/>
      <c r="B155" s="130"/>
      <c r="C155" s="137"/>
      <c r="D155" s="36"/>
      <c r="E155" s="875"/>
      <c r="F155" s="876"/>
      <c r="G155" s="852"/>
      <c r="H155" s="852"/>
      <c r="I155" s="852"/>
      <c r="J155" s="852"/>
      <c r="K155" s="852"/>
      <c r="L155" s="852"/>
      <c r="M155" s="852"/>
      <c r="N155" s="36"/>
      <c r="O155" s="149"/>
      <c r="P155" s="36"/>
      <c r="Q155" s="36"/>
      <c r="R155" s="36"/>
      <c r="S155" s="36"/>
      <c r="T155" s="36"/>
      <c r="U155" s="36"/>
      <c r="V155" s="36"/>
      <c r="W155" s="36"/>
      <c r="X155" s="36"/>
      <c r="Y155" s="36"/>
      <c r="Z155" s="36"/>
      <c r="AA155" s="36"/>
    </row>
    <row r="156" spans="1:27" s="1" customFormat="1" ht="12.75" customHeight="1">
      <c r="A156" s="831"/>
      <c r="B156" s="130"/>
      <c r="C156" s="137"/>
      <c r="D156" s="36"/>
      <c r="E156" s="141"/>
      <c r="F156" s="874" t="str">
        <f>IF(S156="","",S156)</f>
        <v>BEZIRKSGERICHT Landeck, GRUNDBUCH 04345 Landeck</v>
      </c>
      <c r="G156" s="852"/>
      <c r="H156" s="852"/>
      <c r="I156" s="852"/>
      <c r="J156" s="852"/>
      <c r="K156" s="852"/>
      <c r="L156" s="852"/>
      <c r="M156" s="852"/>
      <c r="N156" s="36"/>
      <c r="O156" s="149"/>
      <c r="P156" s="36"/>
      <c r="Q156" s="36"/>
      <c r="R156" s="36"/>
      <c r="S156" s="36" t="str">
        <f>IF('[2]E-ErgInt'!S156="","",'[2]E-ErgInt'!S156)</f>
        <v>BEZIRKSGERICHT Landeck, GRUNDBUCH 04345 Landeck</v>
      </c>
      <c r="T156" s="36"/>
      <c r="U156" s="36"/>
      <c r="V156" s="36"/>
      <c r="W156" s="36"/>
      <c r="X156" s="36"/>
      <c r="Y156" s="36"/>
      <c r="Z156" s="36"/>
      <c r="AA156" s="36"/>
    </row>
    <row r="157" spans="1:27" s="1" customFormat="1" ht="3.75" customHeight="1">
      <c r="A157" s="831"/>
      <c r="B157" s="130"/>
      <c r="C157" s="137"/>
      <c r="D157" s="36"/>
      <c r="E157" s="875"/>
      <c r="F157" s="876"/>
      <c r="G157" s="852"/>
      <c r="H157" s="852"/>
      <c r="I157" s="852"/>
      <c r="J157" s="852"/>
      <c r="K157" s="852"/>
      <c r="L157" s="852"/>
      <c r="M157" s="852"/>
      <c r="N157" s="36"/>
      <c r="O157" s="149"/>
      <c r="P157" s="36"/>
      <c r="Q157" s="36"/>
      <c r="R157" s="36"/>
      <c r="S157" s="36"/>
      <c r="T157" s="36"/>
      <c r="U157" s="36"/>
      <c r="V157" s="36"/>
      <c r="W157" s="36"/>
      <c r="X157" s="36"/>
      <c r="Y157" s="36"/>
      <c r="Z157" s="36"/>
      <c r="AA157" s="36"/>
    </row>
    <row r="158" spans="1:27" s="1" customFormat="1" ht="12.75" customHeight="1">
      <c r="A158" s="831"/>
      <c r="B158" s="130"/>
      <c r="C158" s="137"/>
      <c r="D158" s="36"/>
      <c r="E158" s="141"/>
      <c r="F158" s="874" t="str">
        <f>IF(S158="","",S158)</f>
        <v>BEZIRKSGERICHT Innsbruck, GRUNDBUCH 02345 Völs</v>
      </c>
      <c r="G158" s="852"/>
      <c r="H158" s="852"/>
      <c r="I158" s="852"/>
      <c r="J158" s="852"/>
      <c r="K158" s="852"/>
      <c r="L158" s="852"/>
      <c r="M158" s="852"/>
      <c r="N158" s="36"/>
      <c r="O158" s="149"/>
      <c r="P158" s="36"/>
      <c r="Q158" s="36"/>
      <c r="R158" s="36"/>
      <c r="S158" s="36" t="str">
        <f>IF('[2]E-ErgInt'!S158="","",'[2]E-ErgInt'!S158)</f>
        <v>BEZIRKSGERICHT Innsbruck, GRUNDBUCH 02345 Völs</v>
      </c>
      <c r="T158" s="36"/>
      <c r="U158" s="36"/>
      <c r="V158" s="36"/>
      <c r="W158" s="36"/>
      <c r="X158" s="36"/>
      <c r="Y158" s="36"/>
      <c r="Z158" s="36"/>
      <c r="AA158" s="36"/>
    </row>
    <row r="159" spans="1:27" s="1" customFormat="1" ht="12.75" customHeight="1">
      <c r="A159" s="831"/>
      <c r="B159" s="130"/>
      <c r="C159" s="36"/>
      <c r="D159" s="36"/>
      <c r="E159" s="36"/>
      <c r="F159" s="36"/>
      <c r="G159" s="852"/>
      <c r="H159" s="852"/>
      <c r="I159" s="852"/>
      <c r="J159" s="852"/>
      <c r="K159" s="852"/>
      <c r="L159" s="852"/>
      <c r="M159" s="852"/>
      <c r="N159" s="36"/>
      <c r="O159" s="149"/>
      <c r="P159" s="36"/>
      <c r="Q159" s="36"/>
      <c r="R159" s="36"/>
      <c r="S159" s="36"/>
      <c r="T159" s="36"/>
      <c r="U159" s="36"/>
      <c r="V159" s="36"/>
      <c r="W159" s="36"/>
      <c r="X159" s="36"/>
      <c r="Y159" s="36"/>
      <c r="Z159" s="36"/>
      <c r="AA159" s="36"/>
    </row>
    <row r="160" spans="1:27" s="1" customFormat="1" ht="12.75" customHeight="1">
      <c r="A160" s="831"/>
      <c r="B160" s="130"/>
      <c r="C160" s="36"/>
      <c r="D160" s="36" t="s">
        <v>104</v>
      </c>
      <c r="E160" s="36" t="s">
        <v>548</v>
      </c>
      <c r="F160" s="36"/>
      <c r="G160" s="36"/>
      <c r="H160" s="36"/>
      <c r="I160" s="36"/>
      <c r="J160" s="36"/>
      <c r="K160" s="36"/>
      <c r="L160" s="36"/>
      <c r="M160" s="36"/>
      <c r="N160" s="36"/>
      <c r="O160" s="149"/>
      <c r="P160" s="36"/>
      <c r="Q160" s="36"/>
      <c r="R160" s="36"/>
      <c r="S160" s="36"/>
      <c r="T160" s="36"/>
      <c r="U160" s="36"/>
      <c r="V160" s="36"/>
      <c r="W160" s="36"/>
      <c r="X160" s="36"/>
      <c r="Y160" s="36"/>
      <c r="Z160" s="36"/>
      <c r="AA160" s="36"/>
    </row>
    <row r="161" spans="1:27" s="1" customFormat="1" ht="12.75" customHeight="1">
      <c r="A161" s="831"/>
      <c r="B161" s="130"/>
      <c r="C161" s="36"/>
      <c r="D161" s="36"/>
      <c r="E161" s="152" t="s">
        <v>549</v>
      </c>
      <c r="F161" s="36"/>
      <c r="G161" s="36"/>
      <c r="H161" s="36"/>
      <c r="I161" s="36"/>
      <c r="J161" s="36"/>
      <c r="K161" s="36"/>
      <c r="L161" s="36"/>
      <c r="M161" s="36"/>
      <c r="N161" s="36"/>
      <c r="O161" s="149"/>
      <c r="P161" s="36"/>
      <c r="Q161" s="36"/>
      <c r="R161" s="36"/>
      <c r="S161" s="36"/>
      <c r="T161" s="36"/>
      <c r="U161" s="36"/>
      <c r="V161" s="36"/>
      <c r="W161" s="36"/>
      <c r="X161" s="36"/>
      <c r="Y161" s="36"/>
      <c r="Z161" s="36"/>
      <c r="AA161" s="36"/>
    </row>
    <row r="162" spans="1:27" s="1" customFormat="1" ht="12.75" customHeight="1">
      <c r="A162" s="831"/>
      <c r="B162" s="130"/>
      <c r="C162" s="36"/>
      <c r="D162" s="36"/>
      <c r="E162" s="1021"/>
      <c r="F162" s="1022"/>
      <c r="G162" s="36"/>
      <c r="H162" s="878" t="s">
        <v>550</v>
      </c>
      <c r="I162" s="36"/>
      <c r="J162" s="36"/>
      <c r="K162" s="36"/>
      <c r="L162" s="36"/>
      <c r="M162" s="36"/>
      <c r="N162" s="36"/>
      <c r="O162" s="135">
        <f>IF(E162="","",IF('[2]E-ErgInt'!E162=E162,Q162,0))</f>
      </c>
      <c r="P162" s="36" t="s">
        <v>107</v>
      </c>
      <c r="Q162" s="132">
        <v>1</v>
      </c>
      <c r="R162" s="36"/>
      <c r="S162" s="36"/>
      <c r="T162" s="36"/>
      <c r="U162" s="36"/>
      <c r="V162" s="36"/>
      <c r="W162" s="36"/>
      <c r="X162" s="36"/>
      <c r="Y162" s="36"/>
      <c r="Z162" s="36"/>
      <c r="AA162" s="36"/>
    </row>
    <row r="163" spans="1:27" s="1" customFormat="1" ht="12.75" customHeight="1">
      <c r="A163" s="831"/>
      <c r="B163" s="130"/>
      <c r="C163" s="36"/>
      <c r="D163" s="36"/>
      <c r="E163" s="154"/>
      <c r="F163" s="145"/>
      <c r="G163" s="36"/>
      <c r="H163" s="36"/>
      <c r="I163" s="36"/>
      <c r="J163" s="36"/>
      <c r="K163" s="36"/>
      <c r="L163" s="36"/>
      <c r="M163" s="36"/>
      <c r="N163" s="36"/>
      <c r="O163" s="149"/>
      <c r="P163" s="36"/>
      <c r="Q163" s="36"/>
      <c r="R163" s="36"/>
      <c r="S163" s="36"/>
      <c r="T163" s="36"/>
      <c r="U163" s="36"/>
      <c r="V163" s="36"/>
      <c r="W163" s="36"/>
      <c r="X163" s="36"/>
      <c r="Y163" s="36"/>
      <c r="Z163" s="36"/>
      <c r="AA163" s="36"/>
    </row>
    <row r="164" spans="1:27" s="1" customFormat="1" ht="12.75" customHeight="1">
      <c r="A164" s="831"/>
      <c r="B164" s="130"/>
      <c r="C164" s="36"/>
      <c r="D164" s="36" t="s">
        <v>111</v>
      </c>
      <c r="E164" s="154" t="s">
        <v>551</v>
      </c>
      <c r="F164" s="145"/>
      <c r="G164" s="36"/>
      <c r="H164" s="36"/>
      <c r="I164" s="36"/>
      <c r="J164" s="36"/>
      <c r="K164" s="36"/>
      <c r="L164" s="36"/>
      <c r="M164" s="36"/>
      <c r="N164" s="36"/>
      <c r="O164" s="149"/>
      <c r="P164" s="36"/>
      <c r="Q164" s="36"/>
      <c r="R164" s="36"/>
      <c r="S164" s="36"/>
      <c r="T164" s="36"/>
      <c r="U164" s="36"/>
      <c r="V164" s="36"/>
      <c r="W164" s="36"/>
      <c r="X164" s="36"/>
      <c r="Y164" s="36"/>
      <c r="Z164" s="36"/>
      <c r="AA164" s="36"/>
    </row>
    <row r="165" spans="1:27" s="1" customFormat="1" ht="12.75" customHeight="1">
      <c r="A165" s="831"/>
      <c r="B165" s="130"/>
      <c r="C165" s="36"/>
      <c r="D165" s="36"/>
      <c r="E165" s="36"/>
      <c r="F165" s="36" t="s">
        <v>465</v>
      </c>
      <c r="G165" s="36"/>
      <c r="H165" s="879"/>
      <c r="I165" s="36"/>
      <c r="J165" s="36"/>
      <c r="K165" s="878" t="s">
        <v>552</v>
      </c>
      <c r="L165" s="36"/>
      <c r="M165" s="36"/>
      <c r="N165" s="36"/>
      <c r="O165" s="135">
        <f>IF(H165="","",IF('[2]E-ErgInt'!H165=H165,Q165,0))</f>
      </c>
      <c r="P165" s="36" t="s">
        <v>107</v>
      </c>
      <c r="Q165" s="132">
        <v>1</v>
      </c>
      <c r="R165" s="36"/>
      <c r="S165" s="36"/>
      <c r="T165" s="36"/>
      <c r="U165" s="36"/>
      <c r="V165" s="36"/>
      <c r="W165" s="36"/>
      <c r="X165" s="36"/>
      <c r="Y165" s="36"/>
      <c r="Z165" s="36"/>
      <c r="AA165" s="36"/>
    </row>
    <row r="166" spans="1:27" s="1" customFormat="1" ht="12.75" customHeight="1">
      <c r="A166" s="831"/>
      <c r="B166" s="130"/>
      <c r="C166" s="36"/>
      <c r="D166" s="36"/>
      <c r="E166" s="36"/>
      <c r="F166" s="36"/>
      <c r="G166" s="36"/>
      <c r="H166" s="36"/>
      <c r="I166" s="36"/>
      <c r="J166" s="36"/>
      <c r="K166" s="36"/>
      <c r="L166" s="36"/>
      <c r="M166" s="36"/>
      <c r="N166" s="36"/>
      <c r="O166" s="149"/>
      <c r="P166" s="36"/>
      <c r="Q166" s="36"/>
      <c r="R166" s="36"/>
      <c r="S166" s="36"/>
      <c r="T166" s="36"/>
      <c r="U166" s="36"/>
      <c r="V166" s="36"/>
      <c r="W166" s="36"/>
      <c r="X166" s="36"/>
      <c r="Y166" s="36"/>
      <c r="Z166" s="36"/>
      <c r="AA166" s="36"/>
    </row>
    <row r="167" spans="1:27" s="1" customFormat="1" ht="12.75" customHeight="1">
      <c r="A167" s="831"/>
      <c r="B167" s="130"/>
      <c r="C167" s="36"/>
      <c r="D167" s="36"/>
      <c r="E167" s="154" t="s">
        <v>595</v>
      </c>
      <c r="F167" s="36"/>
      <c r="G167" s="36"/>
      <c r="H167" s="36"/>
      <c r="I167" s="36"/>
      <c r="J167" s="36"/>
      <c r="K167" s="36"/>
      <c r="L167" s="36"/>
      <c r="M167" s="36"/>
      <c r="N167" s="36"/>
      <c r="O167" s="36"/>
      <c r="P167" s="36"/>
      <c r="Q167" s="36"/>
      <c r="R167" s="36"/>
      <c r="S167" s="36"/>
      <c r="T167" s="36"/>
      <c r="U167" s="36"/>
      <c r="V167" s="36"/>
      <c r="W167" s="36"/>
      <c r="X167" s="36"/>
      <c r="Y167" s="36"/>
      <c r="Z167" s="36"/>
      <c r="AA167" s="36"/>
    </row>
    <row r="168" spans="1:27" s="1" customFormat="1" ht="12.75">
      <c r="A168" s="831"/>
      <c r="B168" s="130"/>
      <c r="C168" s="36"/>
      <c r="D168" s="36"/>
      <c r="E168" s="141"/>
      <c r="F168" s="876" t="s">
        <v>556</v>
      </c>
      <c r="G168" s="880"/>
      <c r="H168" s="880"/>
      <c r="I168" s="880"/>
      <c r="J168" s="880"/>
      <c r="K168" s="880"/>
      <c r="L168" s="880"/>
      <c r="M168" s="880"/>
      <c r="N168" s="36"/>
      <c r="O168" s="135">
        <f>IF(AND(E168='[2]E-ErgInt'!E168,E170='[2]E-ErgInt'!E170,E172='[2]E-ErgInt'!E172,E174='[2]E-ErgInt'!E174,E176='[2]E-ErgInt'!E176),Q168,"")</f>
      </c>
      <c r="P168" s="36" t="s">
        <v>107</v>
      </c>
      <c r="Q168" s="132">
        <v>1</v>
      </c>
      <c r="R168" s="36"/>
      <c r="S168" s="36"/>
      <c r="T168" s="36"/>
      <c r="U168" s="36"/>
      <c r="V168" s="36"/>
      <c r="W168" s="36"/>
      <c r="X168" s="36"/>
      <c r="Y168" s="36"/>
      <c r="Z168" s="36"/>
      <c r="AA168" s="36"/>
    </row>
    <row r="169" spans="1:27" s="1" customFormat="1" ht="3.75" customHeight="1">
      <c r="A169" s="831"/>
      <c r="B169" s="130"/>
      <c r="C169" s="36"/>
      <c r="D169" s="36"/>
      <c r="E169" s="880"/>
      <c r="F169" s="876"/>
      <c r="G169" s="880"/>
      <c r="H169" s="880"/>
      <c r="I169" s="880"/>
      <c r="J169" s="880"/>
      <c r="K169" s="880"/>
      <c r="L169" s="880"/>
      <c r="M169" s="880"/>
      <c r="N169" s="36"/>
      <c r="O169" s="149"/>
      <c r="P169" s="36"/>
      <c r="Q169" s="36"/>
      <c r="R169" s="36"/>
      <c r="S169" s="36"/>
      <c r="T169" s="36"/>
      <c r="U169" s="36"/>
      <c r="V169" s="36"/>
      <c r="W169" s="36"/>
      <c r="X169" s="36"/>
      <c r="Y169" s="36"/>
      <c r="Z169" s="36"/>
      <c r="AA169" s="36"/>
    </row>
    <row r="170" spans="1:27" s="1" customFormat="1" ht="12.75">
      <c r="A170" s="831"/>
      <c r="B170" s="130"/>
      <c r="C170" s="36"/>
      <c r="D170" s="36"/>
      <c r="E170" s="141"/>
      <c r="F170" s="876" t="s">
        <v>554</v>
      </c>
      <c r="G170" s="880"/>
      <c r="H170" s="880"/>
      <c r="I170" s="880"/>
      <c r="J170" s="880"/>
      <c r="K170" s="880"/>
      <c r="L170" s="880"/>
      <c r="M170" s="880"/>
      <c r="N170" s="36"/>
      <c r="O170" s="149"/>
      <c r="P170" s="36"/>
      <c r="Q170" s="36"/>
      <c r="R170" s="36"/>
      <c r="S170" s="36"/>
      <c r="T170" s="36"/>
      <c r="U170" s="36"/>
      <c r="V170" s="36"/>
      <c r="W170" s="36"/>
      <c r="X170" s="36"/>
      <c r="Y170" s="36"/>
      <c r="Z170" s="36"/>
      <c r="AA170" s="36"/>
    </row>
    <row r="171" spans="1:27" s="1" customFormat="1" ht="3.75" customHeight="1">
      <c r="A171" s="831"/>
      <c r="B171" s="130"/>
      <c r="C171" s="36"/>
      <c r="D171" s="36"/>
      <c r="E171" s="880"/>
      <c r="F171" s="876"/>
      <c r="G171" s="880"/>
      <c r="H171" s="880"/>
      <c r="I171" s="880"/>
      <c r="J171" s="880"/>
      <c r="K171" s="880"/>
      <c r="L171" s="880"/>
      <c r="M171" s="880"/>
      <c r="N171" s="36"/>
      <c r="O171" s="149"/>
      <c r="P171" s="36"/>
      <c r="Q171" s="36"/>
      <c r="R171" s="36"/>
      <c r="S171" s="36"/>
      <c r="T171" s="36"/>
      <c r="U171" s="36"/>
      <c r="V171" s="36"/>
      <c r="W171" s="36"/>
      <c r="X171" s="36"/>
      <c r="Y171" s="36"/>
      <c r="Z171" s="36"/>
      <c r="AA171" s="36"/>
    </row>
    <row r="172" spans="1:27" s="1" customFormat="1" ht="12.75">
      <c r="A172" s="831"/>
      <c r="B172" s="130"/>
      <c r="C172" s="36"/>
      <c r="D172" s="36"/>
      <c r="E172" s="141"/>
      <c r="F172" s="876" t="s">
        <v>555</v>
      </c>
      <c r="G172" s="880"/>
      <c r="H172" s="880"/>
      <c r="I172" s="880"/>
      <c r="J172" s="880"/>
      <c r="K172" s="880"/>
      <c r="L172" s="880"/>
      <c r="M172" s="880"/>
      <c r="N172" s="36"/>
      <c r="O172" s="149"/>
      <c r="P172" s="36"/>
      <c r="Q172" s="36"/>
      <c r="R172" s="36"/>
      <c r="S172" s="36"/>
      <c r="T172" s="36"/>
      <c r="U172" s="36"/>
      <c r="V172" s="36"/>
      <c r="W172" s="36"/>
      <c r="X172" s="36"/>
      <c r="Y172" s="36"/>
      <c r="Z172" s="36"/>
      <c r="AA172" s="36"/>
    </row>
    <row r="173" spans="1:27" s="1" customFormat="1" ht="3.75" customHeight="1">
      <c r="A173" s="831"/>
      <c r="B173" s="130"/>
      <c r="C173" s="36"/>
      <c r="D173" s="36"/>
      <c r="E173" s="880"/>
      <c r="F173" s="876"/>
      <c r="G173" s="880"/>
      <c r="H173" s="880"/>
      <c r="I173" s="880"/>
      <c r="J173" s="880"/>
      <c r="K173" s="880"/>
      <c r="L173" s="880"/>
      <c r="M173" s="880"/>
      <c r="N173" s="36"/>
      <c r="O173" s="149"/>
      <c r="P173" s="36"/>
      <c r="Q173" s="36"/>
      <c r="R173" s="36"/>
      <c r="S173" s="36"/>
      <c r="T173" s="36"/>
      <c r="U173" s="36"/>
      <c r="V173" s="36"/>
      <c r="W173" s="36"/>
      <c r="X173" s="36"/>
      <c r="Y173" s="36"/>
      <c r="Z173" s="36"/>
      <c r="AA173" s="36"/>
    </row>
    <row r="174" spans="1:27" s="1" customFormat="1" ht="12.75">
      <c r="A174" s="831"/>
      <c r="B174" s="130"/>
      <c r="C174" s="36"/>
      <c r="D174" s="36"/>
      <c r="E174" s="141"/>
      <c r="F174" s="876" t="s">
        <v>553</v>
      </c>
      <c r="G174" s="880"/>
      <c r="H174" s="880"/>
      <c r="I174" s="880"/>
      <c r="J174" s="880"/>
      <c r="K174" s="880"/>
      <c r="L174" s="880"/>
      <c r="M174" s="880"/>
      <c r="N174" s="36"/>
      <c r="O174" s="149"/>
      <c r="P174" s="36"/>
      <c r="Q174" s="36"/>
      <c r="R174" s="36"/>
      <c r="S174" s="36"/>
      <c r="T174" s="36"/>
      <c r="U174" s="36"/>
      <c r="V174" s="36"/>
      <c r="W174" s="36"/>
      <c r="X174" s="36"/>
      <c r="Y174" s="36"/>
      <c r="Z174" s="36"/>
      <c r="AA174" s="36"/>
    </row>
    <row r="175" spans="1:27" s="1" customFormat="1" ht="3.75" customHeight="1">
      <c r="A175" s="831"/>
      <c r="B175" s="130"/>
      <c r="C175" s="36"/>
      <c r="D175" s="36"/>
      <c r="E175" s="880"/>
      <c r="F175" s="876"/>
      <c r="G175" s="880"/>
      <c r="H175" s="880"/>
      <c r="I175" s="880"/>
      <c r="J175" s="880"/>
      <c r="K175" s="880"/>
      <c r="L175" s="880"/>
      <c r="M175" s="880"/>
      <c r="N175" s="36"/>
      <c r="O175" s="149"/>
      <c r="P175" s="36"/>
      <c r="Q175" s="36"/>
      <c r="R175" s="36"/>
      <c r="S175" s="36"/>
      <c r="T175" s="36"/>
      <c r="U175" s="36"/>
      <c r="V175" s="36"/>
      <c r="W175" s="36"/>
      <c r="X175" s="36"/>
      <c r="Y175" s="36"/>
      <c r="Z175" s="36"/>
      <c r="AA175" s="36"/>
    </row>
    <row r="176" spans="1:27" s="1" customFormat="1" ht="12.75">
      <c r="A176" s="831"/>
      <c r="B176" s="130"/>
      <c r="C176" s="36"/>
      <c r="D176" s="92"/>
      <c r="E176" s="141"/>
      <c r="F176" s="876" t="s">
        <v>557</v>
      </c>
      <c r="G176" s="36"/>
      <c r="H176" s="36"/>
      <c r="I176" s="36"/>
      <c r="J176" s="36"/>
      <c r="K176" s="36"/>
      <c r="L176" s="36"/>
      <c r="M176" s="36"/>
      <c r="N176" s="36"/>
      <c r="O176" s="149"/>
      <c r="P176" s="36"/>
      <c r="Q176" s="36"/>
      <c r="R176" s="36"/>
      <c r="S176" s="36"/>
      <c r="T176" s="36"/>
      <c r="U176" s="36"/>
      <c r="V176" s="36"/>
      <c r="W176" s="36"/>
      <c r="X176" s="36"/>
      <c r="Y176" s="36"/>
      <c r="Z176" s="36"/>
      <c r="AA176" s="36"/>
    </row>
    <row r="177" spans="1:27" s="1" customFormat="1" ht="12.75" customHeight="1">
      <c r="A177" s="831"/>
      <c r="B177" s="130"/>
      <c r="C177" s="36"/>
      <c r="D177" s="92"/>
      <c r="E177" s="875"/>
      <c r="F177" s="880"/>
      <c r="G177" s="36"/>
      <c r="H177" s="36"/>
      <c r="I177" s="36"/>
      <c r="J177" s="36"/>
      <c r="K177" s="36"/>
      <c r="L177" s="36"/>
      <c r="M177" s="36"/>
      <c r="N177" s="36"/>
      <c r="O177" s="149"/>
      <c r="P177" s="36"/>
      <c r="Q177" s="36"/>
      <c r="R177" s="36"/>
      <c r="S177" s="36"/>
      <c r="T177" s="36"/>
      <c r="U177" s="36"/>
      <c r="V177" s="36"/>
      <c r="W177" s="36"/>
      <c r="X177" s="36"/>
      <c r="Y177" s="36"/>
      <c r="Z177" s="36"/>
      <c r="AA177" s="36"/>
    </row>
    <row r="178" spans="1:27" s="1" customFormat="1" ht="12.75" customHeight="1">
      <c r="A178" s="831"/>
      <c r="B178" s="130"/>
      <c r="C178" s="36"/>
      <c r="D178" s="36" t="s">
        <v>135</v>
      </c>
      <c r="E178" s="36" t="s">
        <v>558</v>
      </c>
      <c r="F178" s="36"/>
      <c r="G178" s="36"/>
      <c r="H178" s="36"/>
      <c r="I178" s="36"/>
      <c r="J178" s="36"/>
      <c r="K178" s="36"/>
      <c r="L178" s="36"/>
      <c r="M178" s="36"/>
      <c r="N178" s="36"/>
      <c r="O178" s="149"/>
      <c r="P178" s="36"/>
      <c r="Q178" s="36"/>
      <c r="R178" s="36"/>
      <c r="S178" s="36"/>
      <c r="T178" s="36"/>
      <c r="U178" s="36"/>
      <c r="V178" s="36"/>
      <c r="W178" s="36"/>
      <c r="X178" s="36"/>
      <c r="Y178" s="36"/>
      <c r="Z178" s="36"/>
      <c r="AA178" s="36"/>
    </row>
    <row r="179" spans="1:27" s="1" customFormat="1" ht="12.75" customHeight="1">
      <c r="A179" s="831"/>
      <c r="B179" s="130"/>
      <c r="C179" s="36"/>
      <c r="D179" s="36"/>
      <c r="E179" s="1021"/>
      <c r="F179" s="1022"/>
      <c r="G179" s="36"/>
      <c r="H179" s="878" t="s">
        <v>559</v>
      </c>
      <c r="I179" s="36"/>
      <c r="J179" s="36"/>
      <c r="K179" s="36"/>
      <c r="L179" s="36"/>
      <c r="M179" s="36"/>
      <c r="N179" s="36"/>
      <c r="O179" s="135">
        <f>IF(E179="","",IF('[2]E-ErgInt'!E179=E179,Q179,0))</f>
      </c>
      <c r="P179" s="36" t="s">
        <v>107</v>
      </c>
      <c r="Q179" s="132">
        <v>1</v>
      </c>
      <c r="R179" s="36"/>
      <c r="S179" s="36"/>
      <c r="T179" s="36"/>
      <c r="U179" s="36"/>
      <c r="V179" s="36"/>
      <c r="W179" s="36"/>
      <c r="X179" s="36"/>
      <c r="Y179" s="36"/>
      <c r="Z179" s="36"/>
      <c r="AA179" s="36"/>
    </row>
    <row r="180" spans="1:27" s="1" customFormat="1" ht="12.75" customHeight="1">
      <c r="A180" s="831"/>
      <c r="B180" s="130"/>
      <c r="C180" s="36"/>
      <c r="D180" s="36"/>
      <c r="E180" s="36" t="s">
        <v>596</v>
      </c>
      <c r="F180" s="36"/>
      <c r="G180" s="36"/>
      <c r="H180" s="36"/>
      <c r="I180" s="36"/>
      <c r="J180" s="36"/>
      <c r="K180" s="36"/>
      <c r="L180" s="36"/>
      <c r="M180" s="36"/>
      <c r="N180" s="36"/>
      <c r="O180" s="149"/>
      <c r="P180" s="36"/>
      <c r="Q180" s="36"/>
      <c r="R180" s="36"/>
      <c r="S180" s="36"/>
      <c r="T180" s="36"/>
      <c r="U180" s="36"/>
      <c r="V180" s="36"/>
      <c r="W180" s="36"/>
      <c r="X180" s="36"/>
      <c r="Y180" s="36"/>
      <c r="Z180" s="36"/>
      <c r="AA180" s="36"/>
    </row>
    <row r="181" spans="1:27" s="1" customFormat="1" ht="12.75" customHeight="1">
      <c r="A181" s="831"/>
      <c r="B181" s="130"/>
      <c r="C181" s="36"/>
      <c r="D181" s="36"/>
      <c r="E181" s="1021"/>
      <c r="F181" s="1022"/>
      <c r="G181" s="36"/>
      <c r="H181" s="878" t="s">
        <v>559</v>
      </c>
      <c r="I181" s="36"/>
      <c r="J181" s="36"/>
      <c r="K181" s="36"/>
      <c r="L181" s="36"/>
      <c r="M181" s="36"/>
      <c r="N181" s="36"/>
      <c r="O181" s="135">
        <f>IF(E181="","",IF('[2]E-ErgInt'!E181=E181,Q181,0))</f>
      </c>
      <c r="P181" s="36" t="s">
        <v>107</v>
      </c>
      <c r="Q181" s="132">
        <v>1</v>
      </c>
      <c r="R181" s="36"/>
      <c r="S181" s="36"/>
      <c r="T181" s="36"/>
      <c r="U181" s="36"/>
      <c r="V181" s="36"/>
      <c r="W181" s="36"/>
      <c r="X181" s="36"/>
      <c r="Y181" s="36"/>
      <c r="Z181" s="36"/>
      <c r="AA181" s="36"/>
    </row>
    <row r="182" spans="1:27" s="1" customFormat="1" ht="12.75" customHeight="1">
      <c r="A182" s="831"/>
      <c r="B182" s="130"/>
      <c r="C182" s="36"/>
      <c r="D182" s="36"/>
      <c r="E182" s="36"/>
      <c r="F182" s="36"/>
      <c r="G182" s="36"/>
      <c r="H182" s="36"/>
      <c r="I182" s="36"/>
      <c r="J182" s="36"/>
      <c r="K182" s="36"/>
      <c r="L182" s="36"/>
      <c r="M182" s="36"/>
      <c r="N182" s="36"/>
      <c r="O182" s="149"/>
      <c r="P182" s="36"/>
      <c r="Q182" s="36"/>
      <c r="R182" s="36"/>
      <c r="S182" s="36"/>
      <c r="T182" s="36"/>
      <c r="U182" s="36"/>
      <c r="V182" s="36"/>
      <c r="W182" s="36"/>
      <c r="X182" s="36"/>
      <c r="Y182" s="36"/>
      <c r="Z182" s="36"/>
      <c r="AA182" s="36"/>
    </row>
    <row r="183" spans="1:27" s="1" customFormat="1" ht="12.75" customHeight="1">
      <c r="A183" s="831"/>
      <c r="B183" s="130"/>
      <c r="C183" s="36"/>
      <c r="D183" s="36"/>
      <c r="E183" s="36" t="s">
        <v>560</v>
      </c>
      <c r="F183" s="36"/>
      <c r="G183" s="36"/>
      <c r="H183" s="36"/>
      <c r="I183" s="36"/>
      <c r="J183" s="36"/>
      <c r="K183" s="36"/>
      <c r="L183" s="36"/>
      <c r="M183" s="36"/>
      <c r="N183" s="36"/>
      <c r="O183" s="149"/>
      <c r="P183" s="36"/>
      <c r="Q183" s="36"/>
      <c r="R183" s="36"/>
      <c r="S183" s="36"/>
      <c r="T183" s="36"/>
      <c r="U183" s="36"/>
      <c r="V183" s="36"/>
      <c r="W183" s="36"/>
      <c r="X183" s="36"/>
      <c r="Y183" s="36"/>
      <c r="Z183" s="36"/>
      <c r="AA183" s="36"/>
    </row>
    <row r="184" spans="1:27" s="1" customFormat="1" ht="12.75" customHeight="1">
      <c r="A184" s="831"/>
      <c r="B184" s="130"/>
      <c r="C184" s="36"/>
      <c r="D184" s="36"/>
      <c r="E184" s="1021"/>
      <c r="F184" s="1022"/>
      <c r="G184" s="36"/>
      <c r="H184" s="878" t="s">
        <v>559</v>
      </c>
      <c r="I184" s="36"/>
      <c r="J184" s="36"/>
      <c r="K184" s="36"/>
      <c r="L184" s="36"/>
      <c r="M184" s="36"/>
      <c r="N184" s="36"/>
      <c r="O184" s="135">
        <f>IF(E184="","",IF('[2]E-ErgInt'!E184=E184,Q184,0))</f>
      </c>
      <c r="P184" s="36" t="s">
        <v>107</v>
      </c>
      <c r="Q184" s="132">
        <v>1</v>
      </c>
      <c r="R184" s="18"/>
      <c r="S184" s="18"/>
      <c r="T184" s="18"/>
      <c r="U184" s="18"/>
      <c r="V184" s="36"/>
      <c r="W184" s="36"/>
      <c r="X184" s="36"/>
      <c r="Y184" s="36"/>
      <c r="Z184" s="36"/>
      <c r="AA184" s="36"/>
    </row>
    <row r="185" spans="1:27" s="1" customFormat="1" ht="12.75" customHeight="1">
      <c r="A185" s="831"/>
      <c r="B185" s="130"/>
      <c r="C185" s="36"/>
      <c r="D185" s="36"/>
      <c r="E185" s="36"/>
      <c r="F185" s="36"/>
      <c r="G185" s="36"/>
      <c r="H185" s="36"/>
      <c r="I185" s="36"/>
      <c r="J185" s="36"/>
      <c r="K185" s="36"/>
      <c r="L185" s="36"/>
      <c r="M185" s="36"/>
      <c r="N185" s="36"/>
      <c r="O185" s="149"/>
      <c r="P185" s="36"/>
      <c r="Q185" s="36"/>
      <c r="R185" s="36"/>
      <c r="S185" s="36"/>
      <c r="T185" s="36"/>
      <c r="U185" s="36"/>
      <c r="V185" s="36"/>
      <c r="W185" s="36"/>
      <c r="X185" s="36"/>
      <c r="Y185" s="36"/>
      <c r="Z185" s="36"/>
      <c r="AA185" s="36"/>
    </row>
    <row r="186" spans="1:27" s="1" customFormat="1" ht="12.75" customHeight="1">
      <c r="A186" s="831"/>
      <c r="B186" s="130"/>
      <c r="C186" s="36"/>
      <c r="D186" s="36" t="s">
        <v>561</v>
      </c>
      <c r="E186" s="881" t="s">
        <v>562</v>
      </c>
      <c r="F186" s="36"/>
      <c r="G186" s="36"/>
      <c r="H186" s="36"/>
      <c r="I186" s="36"/>
      <c r="J186" s="36"/>
      <c r="K186" s="36"/>
      <c r="L186" s="36"/>
      <c r="M186" s="36"/>
      <c r="N186" s="36"/>
      <c r="O186" s="149"/>
      <c r="P186" s="36"/>
      <c r="Q186" s="36"/>
      <c r="R186" s="36"/>
      <c r="S186" s="36"/>
      <c r="T186" s="36"/>
      <c r="U186" s="36"/>
      <c r="V186" s="36"/>
      <c r="W186" s="36"/>
      <c r="X186" s="36"/>
      <c r="Y186" s="36"/>
      <c r="Z186" s="36"/>
      <c r="AA186" s="36"/>
    </row>
    <row r="187" spans="1:27" s="1" customFormat="1" ht="12.75" customHeight="1">
      <c r="A187" s="831"/>
      <c r="B187" s="130"/>
      <c r="C187" s="36"/>
      <c r="D187" s="36"/>
      <c r="E187" s="1023"/>
      <c r="F187" s="1025"/>
      <c r="G187" s="36"/>
      <c r="H187" s="878" t="s">
        <v>563</v>
      </c>
      <c r="I187" s="36"/>
      <c r="J187" s="36"/>
      <c r="K187" s="36"/>
      <c r="L187" s="36"/>
      <c r="M187" s="36"/>
      <c r="N187" s="36"/>
      <c r="O187" s="135">
        <f>IF(E187="","",IF('[2]E-ErgInt'!E187=E187,Q187,0))</f>
      </c>
      <c r="P187" s="36" t="s">
        <v>107</v>
      </c>
      <c r="Q187" s="132">
        <v>1</v>
      </c>
      <c r="R187" s="36"/>
      <c r="S187" s="36"/>
      <c r="T187" s="36"/>
      <c r="U187" s="36"/>
      <c r="V187" s="36"/>
      <c r="W187" s="36"/>
      <c r="X187" s="36"/>
      <c r="Y187" s="36"/>
      <c r="Z187" s="36"/>
      <c r="AA187" s="36"/>
    </row>
    <row r="188" spans="1:27" s="1" customFormat="1" ht="12.75" customHeight="1">
      <c r="A188" s="831"/>
      <c r="B188" s="130"/>
      <c r="C188" s="36"/>
      <c r="D188" s="36"/>
      <c r="E188" s="36"/>
      <c r="F188" s="36"/>
      <c r="G188" s="36"/>
      <c r="H188" s="36"/>
      <c r="I188" s="36"/>
      <c r="J188" s="36"/>
      <c r="K188" s="36"/>
      <c r="L188" s="36"/>
      <c r="M188" s="36"/>
      <c r="N188" s="36"/>
      <c r="O188" s="149"/>
      <c r="P188" s="36"/>
      <c r="Q188" s="36"/>
      <c r="R188" s="36"/>
      <c r="S188" s="36"/>
      <c r="T188" s="36"/>
      <c r="U188" s="36"/>
      <c r="V188" s="36"/>
      <c r="W188" s="36"/>
      <c r="X188" s="36"/>
      <c r="Y188" s="36"/>
      <c r="Z188" s="36"/>
      <c r="AA188" s="36"/>
    </row>
    <row r="189" spans="1:27" s="1" customFormat="1" ht="12.75" customHeight="1">
      <c r="A189" s="831"/>
      <c r="B189" s="130"/>
      <c r="C189" s="36"/>
      <c r="D189" s="36" t="s">
        <v>564</v>
      </c>
      <c r="E189" s="881" t="s">
        <v>565</v>
      </c>
      <c r="F189" s="36"/>
      <c r="G189" s="36"/>
      <c r="H189" s="36"/>
      <c r="I189" s="36"/>
      <c r="J189" s="36"/>
      <c r="K189" s="36"/>
      <c r="L189" s="36"/>
      <c r="M189" s="36"/>
      <c r="N189" s="36"/>
      <c r="O189" s="149"/>
      <c r="P189" s="36"/>
      <c r="Q189" s="36"/>
      <c r="R189" s="36"/>
      <c r="S189" s="36"/>
      <c r="T189" s="36"/>
      <c r="U189" s="36"/>
      <c r="V189" s="36"/>
      <c r="W189" s="36"/>
      <c r="X189" s="36"/>
      <c r="Y189" s="36"/>
      <c r="Z189" s="36"/>
      <c r="AA189" s="36"/>
    </row>
    <row r="190" spans="1:27" s="1" customFormat="1" ht="12.75" customHeight="1">
      <c r="A190" s="831"/>
      <c r="B190" s="130"/>
      <c r="C190" s="36"/>
      <c r="D190" s="36"/>
      <c r="E190" s="1030"/>
      <c r="F190" s="1031"/>
      <c r="G190" s="145"/>
      <c r="H190" s="36" t="s">
        <v>597</v>
      </c>
      <c r="I190" s="36"/>
      <c r="J190" s="36"/>
      <c r="K190" s="36"/>
      <c r="L190" s="36"/>
      <c r="M190" s="36"/>
      <c r="N190" s="36"/>
      <c r="O190" s="135">
        <f>IF(E190="","",IF('[2]E-ErgInt'!E190=E190,Q190,0))</f>
      </c>
      <c r="P190" s="36" t="s">
        <v>107</v>
      </c>
      <c r="Q190" s="132">
        <v>1</v>
      </c>
      <c r="R190" s="36"/>
      <c r="S190" s="36"/>
      <c r="T190" s="36"/>
      <c r="U190" s="36"/>
      <c r="V190" s="36"/>
      <c r="W190" s="36"/>
      <c r="X190" s="36"/>
      <c r="Y190" s="36"/>
      <c r="Z190" s="36"/>
      <c r="AA190" s="36"/>
    </row>
    <row r="191" spans="1:27" s="1" customFormat="1" ht="3.75" customHeight="1">
      <c r="A191" s="831"/>
      <c r="B191" s="130"/>
      <c r="C191" s="36"/>
      <c r="D191" s="36"/>
      <c r="E191" s="36"/>
      <c r="F191" s="36"/>
      <c r="G191" s="36"/>
      <c r="H191" s="36"/>
      <c r="I191" s="36"/>
      <c r="J191" s="36"/>
      <c r="K191" s="36"/>
      <c r="L191" s="36"/>
      <c r="M191" s="36"/>
      <c r="N191" s="36"/>
      <c r="O191" s="149"/>
      <c r="P191" s="36"/>
      <c r="Q191" s="36"/>
      <c r="R191" s="36"/>
      <c r="S191" s="36"/>
      <c r="T191" s="36"/>
      <c r="U191" s="36"/>
      <c r="V191" s="36"/>
      <c r="W191" s="36"/>
      <c r="X191" s="36"/>
      <c r="Y191" s="36"/>
      <c r="Z191" s="36"/>
      <c r="AA191" s="36"/>
    </row>
    <row r="192" spans="1:27" s="1" customFormat="1" ht="12.75" customHeight="1">
      <c r="A192" s="831"/>
      <c r="B192" s="130"/>
      <c r="C192" s="36"/>
      <c r="D192" s="36"/>
      <c r="E192" s="1032"/>
      <c r="F192" s="1033"/>
      <c r="G192" s="145"/>
      <c r="H192" s="36" t="s">
        <v>598</v>
      </c>
      <c r="I192" s="36"/>
      <c r="J192" s="36"/>
      <c r="K192" s="36"/>
      <c r="L192" s="36"/>
      <c r="M192" s="36"/>
      <c r="N192" s="36"/>
      <c r="O192" s="135">
        <f>IF(E192="","",IF('[2]E-ErgInt'!E192=E192,Q192,0))</f>
      </c>
      <c r="P192" s="36" t="s">
        <v>107</v>
      </c>
      <c r="Q192" s="132">
        <v>1</v>
      </c>
      <c r="R192" s="36"/>
      <c r="S192" s="36"/>
      <c r="T192" s="36"/>
      <c r="U192" s="36"/>
      <c r="V192" s="36"/>
      <c r="W192" s="36"/>
      <c r="X192" s="36"/>
      <c r="Y192" s="36"/>
      <c r="Z192" s="36"/>
      <c r="AA192" s="36"/>
    </row>
    <row r="193" spans="1:27" s="1" customFormat="1" ht="12.75" customHeight="1">
      <c r="A193" s="831"/>
      <c r="B193" s="130"/>
      <c r="C193" s="36"/>
      <c r="D193" s="36"/>
      <c r="E193" s="36"/>
      <c r="F193" s="36"/>
      <c r="G193" s="36"/>
      <c r="H193" s="36"/>
      <c r="I193" s="36"/>
      <c r="J193" s="36"/>
      <c r="K193" s="36"/>
      <c r="L193" s="36"/>
      <c r="M193" s="36"/>
      <c r="N193" s="36"/>
      <c r="O193" s="149"/>
      <c r="P193" s="36"/>
      <c r="Q193" s="36"/>
      <c r="R193" s="36"/>
      <c r="S193" s="36"/>
      <c r="T193" s="36"/>
      <c r="U193" s="36"/>
      <c r="V193" s="36"/>
      <c r="W193" s="36"/>
      <c r="X193" s="36"/>
      <c r="Y193" s="36"/>
      <c r="Z193" s="36"/>
      <c r="AA193" s="36"/>
    </row>
    <row r="194" spans="1:27" s="1" customFormat="1" ht="12.75" customHeight="1">
      <c r="A194" s="831"/>
      <c r="B194" s="130"/>
      <c r="C194" s="36"/>
      <c r="D194" s="36" t="s">
        <v>566</v>
      </c>
      <c r="E194" s="881" t="s">
        <v>567</v>
      </c>
      <c r="F194" s="36"/>
      <c r="G194" s="36"/>
      <c r="H194" s="36"/>
      <c r="I194" s="36"/>
      <c r="J194" s="36"/>
      <c r="K194" s="36"/>
      <c r="L194" s="36"/>
      <c r="M194" s="36"/>
      <c r="N194" s="36"/>
      <c r="O194" s="149"/>
      <c r="P194" s="36"/>
      <c r="Q194" s="36"/>
      <c r="R194" s="36"/>
      <c r="S194" s="36"/>
      <c r="T194" s="36"/>
      <c r="U194" s="36"/>
      <c r="V194" s="36"/>
      <c r="W194" s="36"/>
      <c r="X194" s="36"/>
      <c r="Y194" s="36"/>
      <c r="Z194" s="36"/>
      <c r="AA194" s="36"/>
    </row>
    <row r="195" spans="1:27" s="1" customFormat="1" ht="12.75" customHeight="1">
      <c r="A195" s="831"/>
      <c r="B195" s="130"/>
      <c r="C195" s="36"/>
      <c r="D195" s="36"/>
      <c r="E195" s="1021"/>
      <c r="F195" s="1022"/>
      <c r="G195" s="36"/>
      <c r="H195" s="878" t="s">
        <v>559</v>
      </c>
      <c r="I195" s="36"/>
      <c r="J195" s="36"/>
      <c r="K195" s="36"/>
      <c r="L195" s="36"/>
      <c r="M195" s="36"/>
      <c r="N195" s="36"/>
      <c r="O195" s="135">
        <f>IF(E195="","",IF('[2]E-ErgInt'!E195=E195,Q195,0))</f>
      </c>
      <c r="P195" s="36" t="s">
        <v>107</v>
      </c>
      <c r="Q195" s="132">
        <v>1</v>
      </c>
      <c r="R195" s="36"/>
      <c r="S195" s="36"/>
      <c r="T195" s="36"/>
      <c r="U195" s="36"/>
      <c r="V195" s="36"/>
      <c r="W195" s="36"/>
      <c r="X195" s="36"/>
      <c r="Y195" s="36"/>
      <c r="Z195" s="36"/>
      <c r="AA195" s="36"/>
    </row>
    <row r="196" spans="1:27" s="1" customFormat="1" ht="12.75" customHeight="1">
      <c r="A196" s="831"/>
      <c r="B196" s="130"/>
      <c r="C196" s="36"/>
      <c r="D196" s="36"/>
      <c r="E196" s="36" t="s">
        <v>596</v>
      </c>
      <c r="F196" s="36"/>
      <c r="G196" s="36"/>
      <c r="H196" s="36"/>
      <c r="I196" s="36"/>
      <c r="J196" s="36"/>
      <c r="K196" s="36"/>
      <c r="L196" s="36"/>
      <c r="M196" s="36"/>
      <c r="N196" s="36"/>
      <c r="O196" s="149"/>
      <c r="P196" s="36"/>
      <c r="Q196" s="36"/>
      <c r="R196" s="36"/>
      <c r="S196" s="36"/>
      <c r="T196" s="36"/>
      <c r="U196" s="36"/>
      <c r="V196" s="36"/>
      <c r="W196" s="36"/>
      <c r="X196" s="36"/>
      <c r="Y196" s="36"/>
      <c r="Z196" s="36"/>
      <c r="AA196" s="36"/>
    </row>
    <row r="197" spans="1:27" s="1" customFormat="1" ht="12.75" customHeight="1">
      <c r="A197" s="831"/>
      <c r="B197" s="130"/>
      <c r="C197" s="36"/>
      <c r="D197" s="36"/>
      <c r="E197" s="1021"/>
      <c r="F197" s="1022"/>
      <c r="G197" s="36"/>
      <c r="H197" s="878" t="s">
        <v>559</v>
      </c>
      <c r="I197" s="36"/>
      <c r="J197" s="36"/>
      <c r="K197" s="36"/>
      <c r="L197" s="36"/>
      <c r="M197" s="36"/>
      <c r="N197" s="36"/>
      <c r="O197" s="135">
        <f>IF(E197="","",IF('[2]E-ErgInt'!E197=E197,Q197,0))</f>
      </c>
      <c r="P197" s="36" t="s">
        <v>107</v>
      </c>
      <c r="Q197" s="132">
        <v>1</v>
      </c>
      <c r="R197" s="36"/>
      <c r="S197" s="36"/>
      <c r="T197" s="36"/>
      <c r="U197" s="36"/>
      <c r="V197" s="36"/>
      <c r="W197" s="36"/>
      <c r="X197" s="36"/>
      <c r="Y197" s="36"/>
      <c r="Z197" s="36"/>
      <c r="AA197" s="36"/>
    </row>
    <row r="198" spans="1:27" s="1" customFormat="1" ht="12.75" customHeight="1">
      <c r="A198" s="831"/>
      <c r="B198" s="130"/>
      <c r="C198" s="36"/>
      <c r="D198" s="36"/>
      <c r="E198" s="36"/>
      <c r="F198" s="36"/>
      <c r="G198" s="36"/>
      <c r="H198" s="36"/>
      <c r="I198" s="36"/>
      <c r="J198" s="36"/>
      <c r="K198" s="36"/>
      <c r="L198" s="36"/>
      <c r="M198" s="36"/>
      <c r="N198" s="36"/>
      <c r="O198" s="149"/>
      <c r="P198" s="36"/>
      <c r="Q198" s="36"/>
      <c r="R198" s="36"/>
      <c r="S198" s="36"/>
      <c r="T198" s="36"/>
      <c r="U198" s="36"/>
      <c r="V198" s="36"/>
      <c r="W198" s="36"/>
      <c r="X198" s="36"/>
      <c r="Y198" s="36"/>
      <c r="Z198" s="36"/>
      <c r="AA198" s="36"/>
    </row>
    <row r="199" spans="1:27" s="1" customFormat="1" ht="12.75" customHeight="1">
      <c r="A199" s="831"/>
      <c r="B199" s="130"/>
      <c r="C199" s="36"/>
      <c r="D199" s="150" t="s">
        <v>568</v>
      </c>
      <c r="E199" s="882" t="s">
        <v>569</v>
      </c>
      <c r="F199" s="882"/>
      <c r="G199" s="882"/>
      <c r="H199" s="882"/>
      <c r="I199" s="882"/>
      <c r="J199" s="882"/>
      <c r="K199" s="882"/>
      <c r="L199" s="882"/>
      <c r="M199" s="882"/>
      <c r="N199" s="36"/>
      <c r="O199" s="149"/>
      <c r="P199" s="36"/>
      <c r="Q199" s="36"/>
      <c r="R199" s="36"/>
      <c r="S199" s="873" t="s">
        <v>570</v>
      </c>
      <c r="T199" s="832"/>
      <c r="U199" s="36"/>
      <c r="V199" s="36"/>
      <c r="W199" s="36"/>
      <c r="X199" s="36"/>
      <c r="Y199" s="36"/>
      <c r="Z199" s="36"/>
      <c r="AA199" s="36"/>
    </row>
    <row r="200" spans="1:27" s="1" customFormat="1" ht="12.75" customHeight="1">
      <c r="A200" s="831"/>
      <c r="B200" s="130"/>
      <c r="C200" s="36"/>
      <c r="D200" s="150"/>
      <c r="E200" s="36" t="s">
        <v>599</v>
      </c>
      <c r="F200" s="883"/>
      <c r="G200" s="883"/>
      <c r="H200" s="883"/>
      <c r="I200" s="883"/>
      <c r="J200" s="883"/>
      <c r="K200" s="883"/>
      <c r="L200" s="883"/>
      <c r="M200" s="883"/>
      <c r="N200" s="36"/>
      <c r="O200" s="149"/>
      <c r="P200" s="36"/>
      <c r="Q200" s="36"/>
      <c r="R200" s="36"/>
      <c r="S200" s="36" t="str">
        <f>IF('[2]E-ErgInt'!S200="","",'[2]E-ErgInt'!S200)</f>
        <v>Meier Franz-Josef</v>
      </c>
      <c r="T200" s="36"/>
      <c r="U200" s="36"/>
      <c r="V200" s="36"/>
      <c r="W200" s="36"/>
      <c r="X200" s="36"/>
      <c r="Y200" s="36"/>
      <c r="Z200" s="36"/>
      <c r="AA200" s="36"/>
    </row>
    <row r="201" spans="1:27" s="1" customFormat="1" ht="12.75" customHeight="1">
      <c r="A201" s="831"/>
      <c r="B201" s="130"/>
      <c r="C201" s="36"/>
      <c r="D201" s="150"/>
      <c r="E201" s="1028"/>
      <c r="F201" s="1029"/>
      <c r="G201" s="883"/>
      <c r="H201" s="883"/>
      <c r="I201" s="883"/>
      <c r="J201" s="883"/>
      <c r="K201" s="883"/>
      <c r="L201" s="883"/>
      <c r="M201" s="883"/>
      <c r="N201" s="36"/>
      <c r="O201" s="135">
        <f>IF(E201="","",IF('[2]E-ErgInt'!E201=E201,Q201,0))</f>
      </c>
      <c r="P201" s="36" t="s">
        <v>107</v>
      </c>
      <c r="Q201" s="132">
        <v>1</v>
      </c>
      <c r="R201" s="36"/>
      <c r="S201" s="36" t="str">
        <f>IF('[2]E-ErgInt'!S201="","",'[2]E-ErgInt'!S201)</f>
        <v>Burger Josef</v>
      </c>
      <c r="T201" s="36"/>
      <c r="U201" s="36"/>
      <c r="V201" s="36"/>
      <c r="W201" s="36"/>
      <c r="X201" s="36"/>
      <c r="Y201" s="36"/>
      <c r="Z201" s="36"/>
      <c r="AA201" s="36"/>
    </row>
    <row r="202" spans="1:27" s="1" customFormat="1" ht="12.75" customHeight="1">
      <c r="A202" s="831"/>
      <c r="B202" s="130"/>
      <c r="C202" s="36"/>
      <c r="D202" s="36"/>
      <c r="E202" s="36" t="s">
        <v>600</v>
      </c>
      <c r="F202" s="36"/>
      <c r="G202" s="36"/>
      <c r="H202" s="36"/>
      <c r="I202" s="36"/>
      <c r="J202" s="36"/>
      <c r="K202" s="36"/>
      <c r="L202" s="36"/>
      <c r="M202" s="36"/>
      <c r="N202" s="36"/>
      <c r="O202" s="149"/>
      <c r="P202" s="36"/>
      <c r="Q202" s="36"/>
      <c r="R202" s="36"/>
      <c r="S202" s="36" t="str">
        <f>IF('[2]E-ErgInt'!S202="","",'[2]E-ErgInt'!S202)</f>
        <v>Silberbauer Hans</v>
      </c>
      <c r="T202" s="36"/>
      <c r="U202" s="36"/>
      <c r="V202" s="36"/>
      <c r="W202" s="36"/>
      <c r="X202" s="36"/>
      <c r="Y202" s="36"/>
      <c r="Z202" s="36"/>
      <c r="AA202" s="36"/>
    </row>
    <row r="203" spans="1:27" s="1" customFormat="1" ht="12.75" customHeight="1">
      <c r="A203" s="831"/>
      <c r="B203" s="130"/>
      <c r="C203" s="36"/>
      <c r="D203" s="36"/>
      <c r="E203" s="1023"/>
      <c r="F203" s="1024"/>
      <c r="G203" s="1024"/>
      <c r="H203" s="1024"/>
      <c r="I203" s="1024"/>
      <c r="J203" s="1024"/>
      <c r="K203" s="1024"/>
      <c r="L203" s="1024"/>
      <c r="M203" s="1025"/>
      <c r="N203" s="36"/>
      <c r="O203" s="135">
        <f>IF(E203="","",IF('[2]E-ErgInt'!E203=E203,Q203,0))</f>
      </c>
      <c r="P203" s="36" t="s">
        <v>107</v>
      </c>
      <c r="Q203" s="132">
        <v>1</v>
      </c>
      <c r="R203" s="36"/>
      <c r="S203" s="36" t="str">
        <f>IF('[2]E-ErgInt'!S203="","",'[2]E-ErgInt'!S203)</f>
        <v>Jäger Franziska</v>
      </c>
      <c r="T203" s="36"/>
      <c r="U203" s="36"/>
      <c r="V203" s="36"/>
      <c r="W203" s="36"/>
      <c r="X203" s="36"/>
      <c r="Y203" s="36"/>
      <c r="Z203" s="36"/>
      <c r="AA203" s="36"/>
    </row>
    <row r="204" spans="1:27" s="1" customFormat="1" ht="12.75" customHeight="1">
      <c r="A204" s="831"/>
      <c r="B204" s="130"/>
      <c r="C204" s="36"/>
      <c r="D204" s="36"/>
      <c r="E204" s="36" t="s">
        <v>601</v>
      </c>
      <c r="F204" s="36"/>
      <c r="G204" s="36"/>
      <c r="H204" s="36"/>
      <c r="I204" s="36"/>
      <c r="J204" s="36"/>
      <c r="K204" s="36"/>
      <c r="L204" s="36"/>
      <c r="M204" s="36"/>
      <c r="N204" s="36"/>
      <c r="O204" s="149"/>
      <c r="P204" s="36"/>
      <c r="Q204" s="36"/>
      <c r="R204" s="36"/>
      <c r="S204" s="877" t="str">
        <f>IF('[2]E-ErgInt'!S204="","",'[2]E-ErgInt'!S204)</f>
        <v>Burger Eva Maria</v>
      </c>
      <c r="T204" s="849"/>
      <c r="U204" s="36"/>
      <c r="V204" s="36"/>
      <c r="W204" s="36"/>
      <c r="X204" s="36"/>
      <c r="Y204" s="36"/>
      <c r="Z204" s="36"/>
      <c r="AA204" s="36"/>
    </row>
    <row r="205" spans="1:27" s="1" customFormat="1" ht="12.75" customHeight="1">
      <c r="A205" s="831"/>
      <c r="B205" s="130"/>
      <c r="C205" s="36"/>
      <c r="D205" s="36"/>
      <c r="E205" s="1026"/>
      <c r="F205" s="1027"/>
      <c r="G205" s="138"/>
      <c r="H205" s="878"/>
      <c r="I205" s="36"/>
      <c r="J205" s="36"/>
      <c r="K205" s="36"/>
      <c r="L205" s="36"/>
      <c r="M205" s="36"/>
      <c r="N205" s="36"/>
      <c r="O205" s="135">
        <f>IF(E205="","",IF('[2]E-ErgInt'!E205=E205,Q205,0))</f>
      </c>
      <c r="P205" s="36" t="s">
        <v>107</v>
      </c>
      <c r="Q205" s="132">
        <v>1</v>
      </c>
      <c r="R205" s="36"/>
      <c r="S205" s="36" t="str">
        <f>IF('[2]E-ErgInt'!S205="","",'[2]E-ErgInt'!S205)</f>
        <v>Huber Josef</v>
      </c>
      <c r="T205" s="36"/>
      <c r="U205" s="36"/>
      <c r="V205" s="36"/>
      <c r="W205" s="36"/>
      <c r="X205" s="36"/>
      <c r="Y205" s="36"/>
      <c r="Z205" s="36"/>
      <c r="AA205" s="36"/>
    </row>
    <row r="206" spans="1:27" s="1" customFormat="1" ht="12.75" customHeight="1">
      <c r="A206" s="831"/>
      <c r="B206" s="130"/>
      <c r="C206" s="36"/>
      <c r="D206" s="36"/>
      <c r="E206" s="36"/>
      <c r="F206" s="36"/>
      <c r="G206" s="36"/>
      <c r="H206" s="36"/>
      <c r="I206" s="36"/>
      <c r="J206" s="36"/>
      <c r="K206" s="36"/>
      <c r="L206" s="36"/>
      <c r="M206" s="36"/>
      <c r="N206" s="36"/>
      <c r="O206" s="149"/>
      <c r="P206" s="36"/>
      <c r="Q206" s="36"/>
      <c r="R206" s="36"/>
      <c r="S206" s="36" t="str">
        <f>IF('[2]E-ErgInt'!S206="","",'[2]E-ErgInt'!S206)</f>
        <v>Neururer Alexandra</v>
      </c>
      <c r="T206" s="36"/>
      <c r="U206" s="36"/>
      <c r="V206" s="36"/>
      <c r="W206" s="36"/>
      <c r="X206" s="36"/>
      <c r="Y206" s="36"/>
      <c r="Z206" s="36"/>
      <c r="AA206" s="36"/>
    </row>
    <row r="207" spans="1:27" s="1" customFormat="1" ht="12.75" customHeight="1">
      <c r="A207" s="831"/>
      <c r="B207" s="130"/>
      <c r="C207" s="36"/>
      <c r="D207" s="36" t="s">
        <v>571</v>
      </c>
      <c r="E207" s="881" t="s">
        <v>572</v>
      </c>
      <c r="F207" s="36"/>
      <c r="G207" s="36"/>
      <c r="H207" s="36"/>
      <c r="I207" s="36"/>
      <c r="J207" s="36"/>
      <c r="K207" s="36"/>
      <c r="L207" s="36"/>
      <c r="M207" s="36"/>
      <c r="N207" s="36"/>
      <c r="O207" s="149"/>
      <c r="P207" s="36"/>
      <c r="Q207" s="36"/>
      <c r="R207" s="36"/>
      <c r="S207" s="36"/>
      <c r="T207" s="36"/>
      <c r="U207" s="36"/>
      <c r="V207" s="36"/>
      <c r="W207" s="36"/>
      <c r="X207" s="36"/>
      <c r="Y207" s="36"/>
      <c r="Z207" s="36"/>
      <c r="AA207" s="36"/>
    </row>
    <row r="208" spans="1:27" s="1" customFormat="1" ht="12.75" customHeight="1">
      <c r="A208" s="831"/>
      <c r="B208" s="130"/>
      <c r="C208" s="36"/>
      <c r="D208" s="36"/>
      <c r="E208" s="1021"/>
      <c r="F208" s="1022"/>
      <c r="G208" s="36"/>
      <c r="H208" s="878" t="s">
        <v>559</v>
      </c>
      <c r="I208" s="36"/>
      <c r="J208" s="36"/>
      <c r="K208" s="36"/>
      <c r="L208" s="36"/>
      <c r="M208" s="36"/>
      <c r="N208" s="36"/>
      <c r="O208" s="135">
        <f>IF(E208="","",IF('[2]E-ErgInt'!E208=E208,Q208,0))</f>
      </c>
      <c r="P208" s="36" t="s">
        <v>107</v>
      </c>
      <c r="Q208" s="132">
        <v>1</v>
      </c>
      <c r="R208" s="36"/>
      <c r="S208" s="36"/>
      <c r="T208" s="36"/>
      <c r="U208" s="36"/>
      <c r="V208" s="36"/>
      <c r="W208" s="36"/>
      <c r="X208" s="36"/>
      <c r="Y208" s="36"/>
      <c r="Z208" s="36"/>
      <c r="AA208" s="36"/>
    </row>
    <row r="209" spans="1:27" s="1" customFormat="1" ht="12.75" customHeight="1">
      <c r="A209" s="831"/>
      <c r="B209" s="130"/>
      <c r="C209" s="36"/>
      <c r="D209" s="36"/>
      <c r="E209" s="36" t="s">
        <v>596</v>
      </c>
      <c r="F209" s="36"/>
      <c r="G209" s="36"/>
      <c r="H209" s="36"/>
      <c r="I209" s="36"/>
      <c r="J209" s="36"/>
      <c r="K209" s="36"/>
      <c r="L209" s="36"/>
      <c r="M209" s="36"/>
      <c r="N209" s="36"/>
      <c r="O209" s="149"/>
      <c r="P209" s="36"/>
      <c r="Q209" s="36"/>
      <c r="R209" s="36"/>
      <c r="S209" s="36"/>
      <c r="T209" s="36"/>
      <c r="U209" s="36"/>
      <c r="V209" s="36"/>
      <c r="W209" s="36"/>
      <c r="X209" s="36"/>
      <c r="Y209" s="36"/>
      <c r="Z209" s="36"/>
      <c r="AA209" s="36"/>
    </row>
    <row r="210" spans="1:27" s="1" customFormat="1" ht="12.75" customHeight="1">
      <c r="A210" s="831"/>
      <c r="B210" s="130"/>
      <c r="C210" s="36"/>
      <c r="D210" s="36"/>
      <c r="E210" s="1021"/>
      <c r="F210" s="1022"/>
      <c r="G210" s="36"/>
      <c r="H210" s="878" t="s">
        <v>559</v>
      </c>
      <c r="I210" s="36"/>
      <c r="J210" s="36"/>
      <c r="K210" s="36"/>
      <c r="L210" s="36"/>
      <c r="M210" s="36"/>
      <c r="N210" s="36"/>
      <c r="O210" s="135">
        <f>IF(E210="","",IF('[2]E-ErgInt'!E210=E210,Q210,0))</f>
      </c>
      <c r="P210" s="36" t="s">
        <v>107</v>
      </c>
      <c r="Q210" s="132">
        <v>1</v>
      </c>
      <c r="R210" s="36"/>
      <c r="S210" s="873" t="s">
        <v>573</v>
      </c>
      <c r="T210" s="36"/>
      <c r="U210" s="36"/>
      <c r="V210" s="36"/>
      <c r="W210" s="36"/>
      <c r="X210" s="36"/>
      <c r="Y210" s="36"/>
      <c r="Z210" s="36"/>
      <c r="AA210" s="36"/>
    </row>
    <row r="211" spans="1:27" s="1" customFormat="1" ht="12.75" customHeight="1">
      <c r="A211" s="831"/>
      <c r="B211" s="130"/>
      <c r="C211" s="36"/>
      <c r="D211" s="36"/>
      <c r="E211" s="36"/>
      <c r="F211" s="36"/>
      <c r="G211" s="36"/>
      <c r="H211" s="36"/>
      <c r="I211" s="36"/>
      <c r="J211" s="36"/>
      <c r="K211" s="36"/>
      <c r="L211" s="36"/>
      <c r="M211" s="36"/>
      <c r="N211" s="36"/>
      <c r="O211" s="149"/>
      <c r="P211" s="36"/>
      <c r="Q211" s="36"/>
      <c r="R211" s="36"/>
      <c r="S211" s="154" t="str">
        <f>IF('[2]E-ErgInt'!S211="","",'[2]E-ErgInt'!S211)</f>
        <v>Wasserrecht</v>
      </c>
      <c r="T211" s="36"/>
      <c r="U211" s="36"/>
      <c r="V211" s="36"/>
      <c r="W211" s="36"/>
      <c r="X211" s="36"/>
      <c r="Y211" s="36"/>
      <c r="Z211" s="36"/>
      <c r="AA211" s="36"/>
    </row>
    <row r="212" spans="1:27" s="1" customFormat="1" ht="12.75" customHeight="1">
      <c r="A212" s="831"/>
      <c r="B212" s="130"/>
      <c r="C212" s="36"/>
      <c r="D212" s="36" t="s">
        <v>574</v>
      </c>
      <c r="E212" s="881" t="s">
        <v>575</v>
      </c>
      <c r="F212" s="36"/>
      <c r="G212" s="36"/>
      <c r="H212" s="36"/>
      <c r="I212" s="36"/>
      <c r="J212" s="36"/>
      <c r="K212" s="36"/>
      <c r="L212" s="36"/>
      <c r="M212" s="36"/>
      <c r="N212" s="36"/>
      <c r="O212" s="149"/>
      <c r="P212" s="36"/>
      <c r="Q212" s="36"/>
      <c r="R212" s="36"/>
      <c r="S212" s="154" t="str">
        <f>IF('[2]E-ErgInt'!S212="","",'[2]E-ErgInt'!S212)</f>
        <v>Fischereirecht</v>
      </c>
      <c r="T212" s="36"/>
      <c r="U212" s="36"/>
      <c r="V212" s="36"/>
      <c r="W212" s="36"/>
      <c r="X212" s="36"/>
      <c r="Y212" s="36"/>
      <c r="Z212" s="36"/>
      <c r="AA212" s="36"/>
    </row>
    <row r="213" spans="1:27" s="1" customFormat="1" ht="12.75" customHeight="1">
      <c r="A213" s="831"/>
      <c r="B213" s="130"/>
      <c r="C213" s="36"/>
      <c r="D213" s="36"/>
      <c r="E213" s="881" t="s">
        <v>602</v>
      </c>
      <c r="F213" s="36"/>
      <c r="G213" s="36"/>
      <c r="H213" s="36"/>
      <c r="I213" s="36"/>
      <c r="J213" s="36"/>
      <c r="K213" s="36"/>
      <c r="L213" s="36"/>
      <c r="M213" s="36"/>
      <c r="N213" s="36"/>
      <c r="O213" s="149"/>
      <c r="P213" s="36"/>
      <c r="Q213" s="36"/>
      <c r="R213" s="36"/>
      <c r="S213" s="154" t="str">
        <f>IF('[2]E-ErgInt'!S213="","",'[2]E-ErgInt'!S213)</f>
        <v>Weiderecht</v>
      </c>
      <c r="T213" s="36"/>
      <c r="U213" s="36"/>
      <c r="V213" s="36"/>
      <c r="W213" s="36"/>
      <c r="X213" s="36"/>
      <c r="Y213" s="36"/>
      <c r="Z213" s="36"/>
      <c r="AA213" s="36"/>
    </row>
    <row r="214" spans="1:27" s="1" customFormat="1" ht="12.75" customHeight="1">
      <c r="A214" s="831"/>
      <c r="B214" s="130"/>
      <c r="C214" s="36"/>
      <c r="D214" s="36"/>
      <c r="E214" s="1023"/>
      <c r="F214" s="1024"/>
      <c r="G214" s="1024"/>
      <c r="H214" s="1024"/>
      <c r="I214" s="1024"/>
      <c r="J214" s="1024"/>
      <c r="K214" s="1024"/>
      <c r="L214" s="1024"/>
      <c r="M214" s="1025"/>
      <c r="N214" s="36"/>
      <c r="O214" s="135">
        <f>IF(E214="","",IF('[2]E-ErgInt'!E214=E214,Q214,0))</f>
      </c>
      <c r="P214" s="36" t="s">
        <v>107</v>
      </c>
      <c r="Q214" s="132">
        <v>0.5</v>
      </c>
      <c r="R214" s="36"/>
      <c r="S214" s="154" t="str">
        <f>IF('[2]E-ErgInt'!S214="","",'[2]E-ErgInt'!S214)</f>
        <v>Wegerecht</v>
      </c>
      <c r="T214" s="36"/>
      <c r="U214" s="36"/>
      <c r="V214" s="36"/>
      <c r="W214" s="36"/>
      <c r="X214" s="36"/>
      <c r="Y214" s="36"/>
      <c r="Z214" s="36"/>
      <c r="AA214" s="36"/>
    </row>
    <row r="215" spans="1:27" s="1" customFormat="1" ht="12.75" customHeight="1">
      <c r="A215" s="831"/>
      <c r="B215" s="130"/>
      <c r="C215" s="36"/>
      <c r="D215" s="36"/>
      <c r="E215" s="881" t="s">
        <v>603</v>
      </c>
      <c r="F215" s="36"/>
      <c r="G215" s="36"/>
      <c r="H215" s="36"/>
      <c r="I215" s="36"/>
      <c r="J215" s="36"/>
      <c r="K215" s="36"/>
      <c r="L215" s="36"/>
      <c r="M215" s="36"/>
      <c r="N215" s="36"/>
      <c r="O215" s="149"/>
      <c r="P215" s="36"/>
      <c r="Q215" s="36"/>
      <c r="R215" s="36"/>
      <c r="S215" s="154" t="str">
        <f>IF('[2]E-ErgInt'!S215="","",'[2]E-ErgInt'!S215)</f>
        <v>Holzbringungsrecht</v>
      </c>
      <c r="T215" s="36"/>
      <c r="U215" s="36"/>
      <c r="V215" s="36"/>
      <c r="W215" s="36"/>
      <c r="X215" s="36"/>
      <c r="Y215" s="36"/>
      <c r="Z215" s="36"/>
      <c r="AA215" s="36"/>
    </row>
    <row r="216" spans="1:27" s="1" customFormat="1" ht="12.75" customHeight="1">
      <c r="A216" s="831"/>
      <c r="B216" s="130"/>
      <c r="C216" s="36"/>
      <c r="D216" s="36"/>
      <c r="E216" s="881"/>
      <c r="F216" s="884" t="s">
        <v>576</v>
      </c>
      <c r="G216" s="880"/>
      <c r="H216" s="885"/>
      <c r="I216" s="36"/>
      <c r="J216" s="36"/>
      <c r="K216" s="36"/>
      <c r="L216" s="36"/>
      <c r="M216" s="36"/>
      <c r="N216" s="36"/>
      <c r="O216" s="135">
        <f>IF(H216="","",IF(AND('[2]E-ErgInt'!H216=H216,'[2]E-ErgInt'!H218=H218),Q216,0))</f>
      </c>
      <c r="P216" s="36" t="s">
        <v>107</v>
      </c>
      <c r="Q216" s="132">
        <v>0.25</v>
      </c>
      <c r="R216" s="36"/>
      <c r="S216" s="154" t="str">
        <f>IF('[2]E-ErgInt'!S216="","",'[2]E-ErgInt'!S216)</f>
        <v>Fruchtgenussrecht</v>
      </c>
      <c r="T216" s="36"/>
      <c r="U216" s="36"/>
      <c r="V216" s="36"/>
      <c r="W216" s="36"/>
      <c r="X216" s="36"/>
      <c r="Y216" s="36"/>
      <c r="Z216" s="36"/>
      <c r="AA216" s="36"/>
    </row>
    <row r="217" spans="1:27" s="1" customFormat="1" ht="3.75" customHeight="1">
      <c r="A217" s="831"/>
      <c r="B217" s="130"/>
      <c r="C217" s="36"/>
      <c r="D217" s="36"/>
      <c r="E217" s="881"/>
      <c r="F217" s="36"/>
      <c r="G217" s="36"/>
      <c r="H217" s="36"/>
      <c r="I217" s="36"/>
      <c r="J217" s="36"/>
      <c r="K217" s="36"/>
      <c r="L217" s="36"/>
      <c r="M217" s="36"/>
      <c r="N217" s="36"/>
      <c r="O217" s="149"/>
      <c r="P217" s="36"/>
      <c r="Q217" s="36"/>
      <c r="R217" s="36"/>
      <c r="S217" s="36"/>
      <c r="T217" s="36"/>
      <c r="U217" s="36"/>
      <c r="V217" s="36"/>
      <c r="W217" s="36"/>
      <c r="X217" s="36"/>
      <c r="Y217" s="36"/>
      <c r="Z217" s="36"/>
      <c r="AA217" s="36"/>
    </row>
    <row r="218" spans="1:27" s="1" customFormat="1" ht="12.75" customHeight="1">
      <c r="A218" s="831"/>
      <c r="B218" s="130"/>
      <c r="C218" s="36"/>
      <c r="D218" s="36"/>
      <c r="E218" s="36"/>
      <c r="F218" s="884" t="s">
        <v>576</v>
      </c>
      <c r="G218" s="880"/>
      <c r="H218" s="885"/>
      <c r="I218" s="846" t="s">
        <v>528</v>
      </c>
      <c r="J218" s="886" t="s">
        <v>577</v>
      </c>
      <c r="K218" s="880"/>
      <c r="L218" s="880"/>
      <c r="M218" s="880"/>
      <c r="N218" s="36"/>
      <c r="O218" s="149"/>
      <c r="P218" s="36"/>
      <c r="Q218" s="36"/>
      <c r="R218" s="36"/>
      <c r="S218" s="36"/>
      <c r="T218" s="36"/>
      <c r="U218" s="36"/>
      <c r="V218" s="36"/>
      <c r="W218" s="36"/>
      <c r="X218" s="36"/>
      <c r="Y218" s="36"/>
      <c r="Z218" s="36"/>
      <c r="AA218" s="36"/>
    </row>
    <row r="219" spans="1:27" s="1" customFormat="1" ht="12.75" customHeight="1">
      <c r="A219" s="831"/>
      <c r="B219" s="130"/>
      <c r="C219" s="36"/>
      <c r="D219" s="36"/>
      <c r="E219" s="36" t="s">
        <v>578</v>
      </c>
      <c r="F219" s="36"/>
      <c r="G219" s="36"/>
      <c r="H219" s="36"/>
      <c r="I219" s="36"/>
      <c r="J219" s="36"/>
      <c r="K219" s="36"/>
      <c r="L219" s="36"/>
      <c r="M219" s="36"/>
      <c r="N219" s="36"/>
      <c r="O219" s="149"/>
      <c r="P219" s="36"/>
      <c r="Q219" s="36"/>
      <c r="R219" s="36"/>
      <c r="S219" s="36"/>
      <c r="T219" s="36"/>
      <c r="U219" s="36"/>
      <c r="V219" s="36"/>
      <c r="W219" s="36"/>
      <c r="X219" s="36"/>
      <c r="Y219" s="36"/>
      <c r="Z219" s="36"/>
      <c r="AA219" s="36"/>
    </row>
    <row r="220" spans="1:27" s="1" customFormat="1" ht="12.75" customHeight="1">
      <c r="A220" s="831"/>
      <c r="B220" s="130"/>
      <c r="C220" s="36"/>
      <c r="D220" s="36"/>
      <c r="E220" s="141"/>
      <c r="F220" s="884" t="s">
        <v>576</v>
      </c>
      <c r="G220" s="880"/>
      <c r="H220" s="885"/>
      <c r="I220" s="846" t="s">
        <v>528</v>
      </c>
      <c r="J220" s="886" t="s">
        <v>579</v>
      </c>
      <c r="K220" s="36"/>
      <c r="L220" s="36"/>
      <c r="M220" s="36"/>
      <c r="N220" s="36"/>
      <c r="O220" s="135">
        <f>IF(AND('[2]E-ErgInt'!E220=E220,'[2]E-ErgInt'!H220=H220,'[2]E-ErgInt'!E222=E222),Q220,"")</f>
      </c>
      <c r="P220" s="36" t="s">
        <v>107</v>
      </c>
      <c r="Q220" s="132">
        <v>0.25</v>
      </c>
      <c r="R220" s="36"/>
      <c r="S220" s="36"/>
      <c r="T220" s="36"/>
      <c r="U220" s="36"/>
      <c r="V220" s="36"/>
      <c r="W220" s="36"/>
      <c r="X220" s="36"/>
      <c r="Y220" s="36"/>
      <c r="Z220" s="36"/>
      <c r="AA220" s="36"/>
    </row>
    <row r="221" spans="1:27" s="1" customFormat="1" ht="3.75" customHeight="1">
      <c r="A221" s="831"/>
      <c r="B221" s="130"/>
      <c r="C221" s="36"/>
      <c r="D221" s="36"/>
      <c r="E221" s="881"/>
      <c r="F221" s="36"/>
      <c r="G221" s="36"/>
      <c r="H221" s="36"/>
      <c r="I221" s="36"/>
      <c r="J221" s="36"/>
      <c r="K221" s="36"/>
      <c r="L221" s="36"/>
      <c r="M221" s="36"/>
      <c r="N221" s="36"/>
      <c r="O221" s="149"/>
      <c r="P221" s="36"/>
      <c r="Q221" s="36"/>
      <c r="R221" s="36"/>
      <c r="S221" s="36"/>
      <c r="T221" s="36"/>
      <c r="U221" s="36"/>
      <c r="V221" s="36"/>
      <c r="W221" s="36"/>
      <c r="X221" s="36"/>
      <c r="Y221" s="36"/>
      <c r="Z221" s="36"/>
      <c r="AA221" s="36"/>
    </row>
    <row r="222" spans="1:27" s="1" customFormat="1" ht="12.75" customHeight="1">
      <c r="A222" s="831"/>
      <c r="B222" s="130"/>
      <c r="C222" s="36"/>
      <c r="D222" s="36"/>
      <c r="E222" s="141"/>
      <c r="F222" s="884" t="s">
        <v>580</v>
      </c>
      <c r="G222" s="880"/>
      <c r="H222" s="880"/>
      <c r="I222" s="880"/>
      <c r="J222" s="880"/>
      <c r="K222" s="880"/>
      <c r="L222" s="880"/>
      <c r="M222" s="880"/>
      <c r="N222" s="36"/>
      <c r="O222" s="149"/>
      <c r="P222" s="36"/>
      <c r="Q222" s="36"/>
      <c r="R222" s="36"/>
      <c r="S222" s="36"/>
      <c r="T222" s="36"/>
      <c r="U222" s="36"/>
      <c r="V222" s="36"/>
      <c r="W222" s="36"/>
      <c r="X222" s="36"/>
      <c r="Y222" s="36"/>
      <c r="Z222" s="36"/>
      <c r="AA222" s="36"/>
    </row>
    <row r="223" spans="1:27" s="1" customFormat="1" ht="12.75" customHeight="1">
      <c r="A223" s="831"/>
      <c r="B223" s="130"/>
      <c r="C223" s="36"/>
      <c r="D223" s="36"/>
      <c r="E223" s="880"/>
      <c r="F223" s="880"/>
      <c r="G223" s="880"/>
      <c r="H223" s="880"/>
      <c r="I223" s="880"/>
      <c r="J223" s="880"/>
      <c r="K223" s="880"/>
      <c r="L223" s="880"/>
      <c r="M223" s="880"/>
      <c r="N223" s="36"/>
      <c r="O223" s="149"/>
      <c r="P223" s="36"/>
      <c r="Q223" s="36"/>
      <c r="R223" s="36"/>
      <c r="S223" s="36"/>
      <c r="T223" s="36"/>
      <c r="U223" s="36"/>
      <c r="V223" s="36"/>
      <c r="W223" s="36"/>
      <c r="X223" s="36"/>
      <c r="Y223" s="36"/>
      <c r="Z223" s="36"/>
      <c r="AA223" s="36"/>
    </row>
    <row r="224" spans="1:27" s="1" customFormat="1" ht="12.75" customHeight="1">
      <c r="A224" s="831"/>
      <c r="B224" s="130"/>
      <c r="C224" s="36"/>
      <c r="D224" s="36"/>
      <c r="E224" s="881" t="s">
        <v>604</v>
      </c>
      <c r="F224" s="36"/>
      <c r="G224" s="36"/>
      <c r="H224" s="36"/>
      <c r="I224" s="36"/>
      <c r="J224" s="36"/>
      <c r="K224" s="36"/>
      <c r="L224" s="36"/>
      <c r="M224" s="36"/>
      <c r="N224" s="36"/>
      <c r="O224" s="149"/>
      <c r="P224" s="36"/>
      <c r="Q224" s="36"/>
      <c r="R224" s="36"/>
      <c r="S224" s="36"/>
      <c r="T224" s="36"/>
      <c r="U224" s="36"/>
      <c r="V224" s="36"/>
      <c r="W224" s="36"/>
      <c r="X224" s="36"/>
      <c r="Y224" s="36"/>
      <c r="Z224" s="36"/>
      <c r="AA224" s="36"/>
    </row>
    <row r="225" spans="1:27" s="1" customFormat="1" ht="12.75" customHeight="1">
      <c r="A225" s="831"/>
      <c r="B225" s="130"/>
      <c r="C225" s="36"/>
      <c r="D225" s="36"/>
      <c r="E225" s="1023"/>
      <c r="F225" s="1024"/>
      <c r="G225" s="1024"/>
      <c r="H225" s="1024"/>
      <c r="I225" s="1024"/>
      <c r="J225" s="1024"/>
      <c r="K225" s="1024"/>
      <c r="L225" s="1024"/>
      <c r="M225" s="1025"/>
      <c r="N225" s="36"/>
      <c r="O225" s="135">
        <f>IF(E225="","",IF('[2]E-ErgInt'!E225=E225,Q225,0))</f>
      </c>
      <c r="P225" s="36" t="s">
        <v>107</v>
      </c>
      <c r="Q225" s="132">
        <v>0.5</v>
      </c>
      <c r="R225" s="36"/>
      <c r="S225" s="36"/>
      <c r="T225" s="36"/>
      <c r="U225" s="36"/>
      <c r="V225" s="36"/>
      <c r="W225" s="36"/>
      <c r="X225" s="36"/>
      <c r="Y225" s="36"/>
      <c r="Z225" s="36"/>
      <c r="AA225" s="36"/>
    </row>
    <row r="226" spans="1:27" s="1" customFormat="1" ht="12.75" customHeight="1">
      <c r="A226" s="831"/>
      <c r="B226" s="130"/>
      <c r="C226" s="36"/>
      <c r="D226" s="36"/>
      <c r="E226" s="881" t="s">
        <v>603</v>
      </c>
      <c r="F226" s="36"/>
      <c r="G226" s="36"/>
      <c r="H226" s="36"/>
      <c r="I226" s="36"/>
      <c r="J226" s="36"/>
      <c r="K226" s="36"/>
      <c r="L226" s="36"/>
      <c r="M226" s="36"/>
      <c r="N226" s="36"/>
      <c r="O226" s="149"/>
      <c r="P226" s="36"/>
      <c r="Q226" s="36"/>
      <c r="R226" s="36"/>
      <c r="S226" s="36"/>
      <c r="T226" s="36"/>
      <c r="U226" s="36"/>
      <c r="V226" s="36"/>
      <c r="W226" s="36"/>
      <c r="X226" s="36"/>
      <c r="Y226" s="36"/>
      <c r="Z226" s="36"/>
      <c r="AA226" s="36"/>
    </row>
    <row r="227" spans="1:27" s="1" customFormat="1" ht="12.75" customHeight="1">
      <c r="A227" s="831"/>
      <c r="B227" s="130"/>
      <c r="C227" s="36"/>
      <c r="D227" s="36"/>
      <c r="E227" s="881"/>
      <c r="F227" s="884" t="s">
        <v>576</v>
      </c>
      <c r="G227" s="880"/>
      <c r="H227" s="885"/>
      <c r="I227" s="36"/>
      <c r="J227" s="36"/>
      <c r="K227" s="36"/>
      <c r="L227" s="36"/>
      <c r="M227" s="36"/>
      <c r="N227" s="36"/>
      <c r="O227" s="135">
        <f>IF(H227="","",IF(AND('[2]E-ErgInt'!H227=H227,'[2]E-ErgInt'!H229=H229),Q227,0))</f>
      </c>
      <c r="P227" s="36" t="s">
        <v>107</v>
      </c>
      <c r="Q227" s="132">
        <v>0.25</v>
      </c>
      <c r="R227" s="36"/>
      <c r="S227" s="36"/>
      <c r="T227" s="36"/>
      <c r="U227" s="36"/>
      <c r="V227" s="36"/>
      <c r="W227" s="36"/>
      <c r="X227" s="36"/>
      <c r="Y227" s="36"/>
      <c r="Z227" s="36"/>
      <c r="AA227" s="36"/>
    </row>
    <row r="228" spans="1:27" s="1" customFormat="1" ht="3.75" customHeight="1">
      <c r="A228" s="831"/>
      <c r="B228" s="130"/>
      <c r="C228" s="36"/>
      <c r="D228" s="36"/>
      <c r="E228" s="881"/>
      <c r="F228" s="36"/>
      <c r="G228" s="36"/>
      <c r="H228" s="36"/>
      <c r="I228" s="36"/>
      <c r="J228" s="36"/>
      <c r="K228" s="36"/>
      <c r="L228" s="36"/>
      <c r="M228" s="36"/>
      <c r="N228" s="36"/>
      <c r="O228" s="149"/>
      <c r="P228" s="36"/>
      <c r="Q228" s="36"/>
      <c r="R228" s="36"/>
      <c r="S228" s="36"/>
      <c r="T228" s="36"/>
      <c r="U228" s="36"/>
      <c r="V228" s="36"/>
      <c r="W228" s="36"/>
      <c r="X228" s="36"/>
      <c r="Y228" s="36"/>
      <c r="Z228" s="36"/>
      <c r="AA228" s="36"/>
    </row>
    <row r="229" spans="1:27" s="1" customFormat="1" ht="12.75" customHeight="1">
      <c r="A229" s="831"/>
      <c r="B229" s="130"/>
      <c r="C229" s="36"/>
      <c r="D229" s="36"/>
      <c r="E229" s="36"/>
      <c r="F229" s="884" t="s">
        <v>576</v>
      </c>
      <c r="G229" s="880"/>
      <c r="H229" s="885"/>
      <c r="I229" s="846" t="s">
        <v>528</v>
      </c>
      <c r="J229" s="886" t="s">
        <v>577</v>
      </c>
      <c r="K229" s="880"/>
      <c r="L229" s="880"/>
      <c r="M229" s="880"/>
      <c r="N229" s="36"/>
      <c r="O229" s="149"/>
      <c r="P229" s="36"/>
      <c r="Q229" s="36"/>
      <c r="R229" s="36"/>
      <c r="S229" s="36"/>
      <c r="T229" s="36"/>
      <c r="U229" s="36"/>
      <c r="V229" s="36"/>
      <c r="W229" s="36"/>
      <c r="X229" s="36"/>
      <c r="Y229" s="36"/>
      <c r="Z229" s="36"/>
      <c r="AA229" s="36"/>
    </row>
    <row r="230" spans="1:27" s="1" customFormat="1" ht="12.75" customHeight="1">
      <c r="A230" s="831"/>
      <c r="B230" s="130"/>
      <c r="C230" s="36"/>
      <c r="D230" s="36"/>
      <c r="E230" s="36" t="s">
        <v>605</v>
      </c>
      <c r="F230" s="36"/>
      <c r="G230" s="36"/>
      <c r="H230" s="36"/>
      <c r="I230" s="36"/>
      <c r="J230" s="36"/>
      <c r="K230" s="36"/>
      <c r="L230" s="36"/>
      <c r="M230" s="36"/>
      <c r="N230" s="36"/>
      <c r="O230" s="149"/>
      <c r="P230" s="36"/>
      <c r="Q230" s="36"/>
      <c r="R230" s="36"/>
      <c r="S230" s="36"/>
      <c r="T230" s="36"/>
      <c r="U230" s="36"/>
      <c r="V230" s="36"/>
      <c r="W230" s="36"/>
      <c r="X230" s="36"/>
      <c r="Y230" s="36"/>
      <c r="Z230" s="36"/>
      <c r="AA230" s="36"/>
    </row>
    <row r="231" spans="1:27" s="1" customFormat="1" ht="12.75" customHeight="1">
      <c r="A231" s="831"/>
      <c r="B231" s="130"/>
      <c r="C231" s="36"/>
      <c r="D231" s="36"/>
      <c r="E231" s="141"/>
      <c r="F231" s="884" t="s">
        <v>576</v>
      </c>
      <c r="G231" s="880"/>
      <c r="H231" s="885"/>
      <c r="I231" s="846" t="s">
        <v>528</v>
      </c>
      <c r="J231" s="886" t="s">
        <v>579</v>
      </c>
      <c r="K231" s="36"/>
      <c r="L231" s="36"/>
      <c r="M231" s="36"/>
      <c r="N231" s="36"/>
      <c r="O231" s="135">
        <f>IF(AND('[2]E-ErgInt'!E231=E231,'[2]E-ErgInt'!H231=H231,'[2]E-ErgInt'!E233=E233),Q231,"")</f>
      </c>
      <c r="P231" s="36" t="s">
        <v>107</v>
      </c>
      <c r="Q231" s="132">
        <v>0.25</v>
      </c>
      <c r="R231" s="36"/>
      <c r="S231" s="36"/>
      <c r="T231" s="36"/>
      <c r="U231" s="36"/>
      <c r="V231" s="36"/>
      <c r="W231" s="36"/>
      <c r="X231" s="36"/>
      <c r="Y231" s="36"/>
      <c r="Z231" s="36"/>
      <c r="AA231" s="36"/>
    </row>
    <row r="232" spans="1:27" s="1" customFormat="1" ht="3.75" customHeight="1">
      <c r="A232" s="831"/>
      <c r="B232" s="130"/>
      <c r="C232" s="36"/>
      <c r="D232" s="36"/>
      <c r="E232" s="881"/>
      <c r="F232" s="36"/>
      <c r="G232" s="36"/>
      <c r="H232" s="36"/>
      <c r="I232" s="36"/>
      <c r="J232" s="36"/>
      <c r="K232" s="36"/>
      <c r="L232" s="36"/>
      <c r="M232" s="36"/>
      <c r="N232" s="36"/>
      <c r="O232" s="149"/>
      <c r="P232" s="36"/>
      <c r="Q232" s="36"/>
      <c r="R232" s="36"/>
      <c r="S232" s="36"/>
      <c r="T232" s="36"/>
      <c r="U232" s="36"/>
      <c r="V232" s="36"/>
      <c r="W232" s="36"/>
      <c r="X232" s="36"/>
      <c r="Y232" s="36"/>
      <c r="Z232" s="36"/>
      <c r="AA232" s="36"/>
    </row>
    <row r="233" spans="1:27" s="1" customFormat="1" ht="12.75" customHeight="1">
      <c r="A233" s="831"/>
      <c r="B233" s="130"/>
      <c r="C233" s="36"/>
      <c r="D233" s="36"/>
      <c r="E233" s="141"/>
      <c r="F233" s="884" t="s">
        <v>580</v>
      </c>
      <c r="G233" s="880"/>
      <c r="H233" s="880"/>
      <c r="I233" s="880"/>
      <c r="J233" s="880"/>
      <c r="K233" s="880"/>
      <c r="L233" s="880"/>
      <c r="M233" s="880"/>
      <c r="N233" s="36"/>
      <c r="O233" s="149"/>
      <c r="P233" s="36"/>
      <c r="Q233" s="36"/>
      <c r="R233" s="36"/>
      <c r="S233" s="36"/>
      <c r="T233" s="36"/>
      <c r="U233" s="36"/>
      <c r="V233" s="36"/>
      <c r="W233" s="36"/>
      <c r="X233" s="36"/>
      <c r="Y233" s="36"/>
      <c r="Z233" s="36"/>
      <c r="AA233" s="36"/>
    </row>
    <row r="234" spans="1:27" s="1" customFormat="1" ht="12.75" customHeight="1">
      <c r="A234" s="831"/>
      <c r="B234" s="130"/>
      <c r="C234" s="36"/>
      <c r="D234" s="36"/>
      <c r="E234" s="880"/>
      <c r="F234" s="880"/>
      <c r="G234" s="880"/>
      <c r="H234" s="880"/>
      <c r="I234" s="880"/>
      <c r="J234" s="880"/>
      <c r="K234" s="880"/>
      <c r="L234" s="880"/>
      <c r="M234" s="880"/>
      <c r="N234" s="36"/>
      <c r="O234" s="149"/>
      <c r="P234" s="36"/>
      <c r="Q234" s="36"/>
      <c r="R234" s="36"/>
      <c r="S234" s="36"/>
      <c r="T234" s="36"/>
      <c r="U234" s="36"/>
      <c r="V234" s="36"/>
      <c r="W234" s="36"/>
      <c r="X234" s="36"/>
      <c r="Y234" s="36"/>
      <c r="Z234" s="36"/>
      <c r="AA234" s="36"/>
    </row>
    <row r="235" spans="1:27" s="1" customFormat="1" ht="12.75" customHeight="1">
      <c r="A235" s="831"/>
      <c r="B235" s="130"/>
      <c r="C235" s="36"/>
      <c r="D235" s="36" t="s">
        <v>581</v>
      </c>
      <c r="E235" s="36" t="s">
        <v>582</v>
      </c>
      <c r="F235" s="36"/>
      <c r="G235" s="36"/>
      <c r="H235" s="36"/>
      <c r="I235" s="36"/>
      <c r="J235" s="36"/>
      <c r="K235" s="36"/>
      <c r="L235" s="36"/>
      <c r="M235" s="36"/>
      <c r="N235" s="36"/>
      <c r="O235" s="149"/>
      <c r="P235" s="36"/>
      <c r="Q235" s="36"/>
      <c r="R235" s="36"/>
      <c r="S235" s="36"/>
      <c r="T235" s="36"/>
      <c r="U235" s="36"/>
      <c r="V235" s="36"/>
      <c r="W235" s="36"/>
      <c r="X235" s="36"/>
      <c r="Y235" s="36"/>
      <c r="Z235" s="36"/>
      <c r="AA235" s="36"/>
    </row>
    <row r="236" spans="1:27" s="1" customFormat="1" ht="12.75" customHeight="1">
      <c r="A236" s="831"/>
      <c r="B236" s="130"/>
      <c r="C236" s="36"/>
      <c r="D236" s="36"/>
      <c r="E236" s="881" t="s">
        <v>606</v>
      </c>
      <c r="F236" s="36"/>
      <c r="G236" s="36"/>
      <c r="H236" s="36"/>
      <c r="I236" s="36"/>
      <c r="J236" s="36"/>
      <c r="K236" s="36"/>
      <c r="L236" s="36"/>
      <c r="M236" s="36"/>
      <c r="N236" s="36"/>
      <c r="O236" s="149"/>
      <c r="P236" s="36"/>
      <c r="Q236" s="36"/>
      <c r="R236" s="36"/>
      <c r="S236" s="873" t="s">
        <v>583</v>
      </c>
      <c r="T236" s="873"/>
      <c r="U236" s="873"/>
      <c r="V236" s="873"/>
      <c r="W236" s="36"/>
      <c r="X236" s="873" t="s">
        <v>584</v>
      </c>
      <c r="Y236" s="36"/>
      <c r="Z236" s="36"/>
      <c r="AA236" s="36"/>
    </row>
    <row r="237" spans="1:27" s="1" customFormat="1" ht="12.75" customHeight="1">
      <c r="A237" s="831"/>
      <c r="B237" s="130"/>
      <c r="C237" s="36"/>
      <c r="D237" s="36"/>
      <c r="E237" s="1023"/>
      <c r="F237" s="1024"/>
      <c r="G237" s="1024"/>
      <c r="H237" s="1024"/>
      <c r="I237" s="1024"/>
      <c r="J237" s="1024"/>
      <c r="K237" s="1024"/>
      <c r="L237" s="1024"/>
      <c r="M237" s="1025"/>
      <c r="N237" s="36"/>
      <c r="O237" s="135">
        <f>IF(E237="","",IF('[2]E-ErgInt'!E237=E237,Q237,0))</f>
      </c>
      <c r="P237" s="36" t="s">
        <v>107</v>
      </c>
      <c r="Q237" s="132">
        <v>0.25</v>
      </c>
      <c r="R237" s="36"/>
      <c r="S237" s="152" t="str">
        <f>IF('[2]E-ErgInt'!S237="","",'[2]E-ErgInt'!S237)</f>
        <v>Wiederkaufsrecht</v>
      </c>
      <c r="T237" s="36"/>
      <c r="U237" s="36"/>
      <c r="V237" s="36"/>
      <c r="W237" s="36"/>
      <c r="X237" s="877" t="str">
        <f>IF('[2]E-ErgInt'!X237="","",'[2]E-ErgInt'!X237)</f>
        <v>RAIKA Schönwies</v>
      </c>
      <c r="Y237" s="36"/>
      <c r="Z237" s="36"/>
      <c r="AA237" s="36"/>
    </row>
    <row r="238" spans="1:27" s="1" customFormat="1" ht="12.75" customHeight="1">
      <c r="A238" s="831"/>
      <c r="B238" s="130"/>
      <c r="C238" s="36"/>
      <c r="D238" s="36"/>
      <c r="E238" s="881" t="s">
        <v>607</v>
      </c>
      <c r="F238" s="36"/>
      <c r="G238" s="36"/>
      <c r="H238" s="36"/>
      <c r="I238" s="36"/>
      <c r="J238" s="36"/>
      <c r="K238" s="36"/>
      <c r="L238" s="36"/>
      <c r="M238" s="36"/>
      <c r="N238" s="36"/>
      <c r="O238" s="149"/>
      <c r="P238" s="36"/>
      <c r="Q238" s="36"/>
      <c r="R238" s="36"/>
      <c r="S238" s="152" t="str">
        <f>IF('[2]E-ErgInt'!S238="","",'[2]E-ErgInt'!S238)</f>
        <v>Weiderecht</v>
      </c>
      <c r="T238" s="36"/>
      <c r="U238" s="36"/>
      <c r="V238" s="36"/>
      <c r="W238" s="36"/>
      <c r="X238" s="877" t="str">
        <f>IF('[2]E-ErgInt'!X238="","",'[2]E-ErgInt'!X238)</f>
        <v>TIWAG </v>
      </c>
      <c r="Y238" s="36"/>
      <c r="Z238" s="36"/>
      <c r="AA238" s="36"/>
    </row>
    <row r="239" spans="1:27" s="1" customFormat="1" ht="12.75" customHeight="1">
      <c r="A239" s="831"/>
      <c r="B239" s="130"/>
      <c r="C239" s="36"/>
      <c r="D239" s="36"/>
      <c r="E239" s="1023"/>
      <c r="F239" s="1024"/>
      <c r="G239" s="1024"/>
      <c r="H239" s="1024"/>
      <c r="I239" s="1024"/>
      <c r="J239" s="1024"/>
      <c r="K239" s="1024"/>
      <c r="L239" s="1024"/>
      <c r="M239" s="1025"/>
      <c r="N239" s="36"/>
      <c r="O239" s="135">
        <f>IF(E239="","",IF('[2]E-ErgInt'!E239=E239,Q239,0))</f>
      </c>
      <c r="P239" s="36" t="s">
        <v>107</v>
      </c>
      <c r="Q239" s="132">
        <v>0.25</v>
      </c>
      <c r="R239" s="36"/>
      <c r="S239" s="152" t="str">
        <f>IF('[2]E-ErgInt'!S239="","",'[2]E-ErgInt'!S239)</f>
        <v>Immissionsverbot</v>
      </c>
      <c r="T239" s="36"/>
      <c r="U239" s="36"/>
      <c r="V239" s="36"/>
      <c r="W239" s="36"/>
      <c r="X239" s="36" t="str">
        <f>IF('[2]E-ErgInt'!X239="","",'[2]E-ErgInt'!X239)</f>
        <v>Elektrizitätswerk Mils-Schönwies</v>
      </c>
      <c r="Y239" s="36"/>
      <c r="Z239" s="36"/>
      <c r="AA239" s="36"/>
    </row>
    <row r="240" spans="1:27" s="1" customFormat="1" ht="12.75" customHeight="1">
      <c r="A240" s="831"/>
      <c r="B240" s="130"/>
      <c r="C240" s="36"/>
      <c r="D240" s="36"/>
      <c r="E240" s="880"/>
      <c r="F240" s="880"/>
      <c r="G240" s="880"/>
      <c r="H240" s="880"/>
      <c r="I240" s="880"/>
      <c r="J240" s="880"/>
      <c r="K240" s="880"/>
      <c r="L240" s="880"/>
      <c r="M240" s="880"/>
      <c r="N240" s="36"/>
      <c r="O240" s="149"/>
      <c r="P240" s="36"/>
      <c r="Q240" s="36"/>
      <c r="R240" s="36"/>
      <c r="S240" s="152" t="str">
        <f>IF('[2]E-ErgInt'!S240="","",'[2]E-ErgInt'!S240)</f>
        <v>Fischereirecht</v>
      </c>
      <c r="T240" s="36"/>
      <c r="U240" s="36"/>
      <c r="V240" s="36"/>
      <c r="W240" s="36"/>
      <c r="X240" s="36" t="str">
        <f>IF('[2]E-ErgInt'!X240="","",'[2]E-ErgInt'!X240)</f>
        <v>Mobilkom Österreich</v>
      </c>
      <c r="Y240" s="36"/>
      <c r="Z240" s="36"/>
      <c r="AA240" s="36"/>
    </row>
    <row r="241" spans="1:27" s="1" customFormat="1" ht="12.75" customHeight="1">
      <c r="A241" s="831"/>
      <c r="B241" s="130"/>
      <c r="C241" s="36"/>
      <c r="D241" s="36"/>
      <c r="E241" s="881" t="s">
        <v>608</v>
      </c>
      <c r="F241" s="36"/>
      <c r="G241" s="36"/>
      <c r="H241" s="36"/>
      <c r="I241" s="36"/>
      <c r="J241" s="36"/>
      <c r="K241" s="36"/>
      <c r="L241" s="36"/>
      <c r="M241" s="36"/>
      <c r="N241" s="36"/>
      <c r="O241" s="149"/>
      <c r="P241" s="36"/>
      <c r="Q241" s="36"/>
      <c r="R241" s="36"/>
      <c r="S241" s="152" t="str">
        <f>IF('[2]E-ErgInt'!S241="","",'[2]E-ErgInt'!S241)</f>
        <v>Pfandrecht</v>
      </c>
      <c r="T241" s="36"/>
      <c r="U241" s="36"/>
      <c r="V241" s="36"/>
      <c r="W241" s="36"/>
      <c r="X241" s="36" t="str">
        <f>IF('[2]E-ErgInt'!X241="","",'[2]E-ErgInt'!X241)</f>
        <v>Franz Josef Burger </v>
      </c>
      <c r="Y241" s="36"/>
      <c r="Z241" s="36"/>
      <c r="AA241" s="36"/>
    </row>
    <row r="242" spans="1:27" s="1" customFormat="1" ht="12.75" customHeight="1">
      <c r="A242" s="831"/>
      <c r="B242" s="130"/>
      <c r="C242" s="36"/>
      <c r="D242" s="36"/>
      <c r="E242" s="1023"/>
      <c r="F242" s="1024"/>
      <c r="G242" s="1024"/>
      <c r="H242" s="1024"/>
      <c r="I242" s="1024"/>
      <c r="J242" s="1024"/>
      <c r="K242" s="1024"/>
      <c r="L242" s="1024"/>
      <c r="M242" s="1025"/>
      <c r="N242" s="36"/>
      <c r="O242" s="135">
        <f>IF(E242="","",IF('[2]E-ErgInt'!E242=E242,Q242,0))</f>
      </c>
      <c r="P242" s="36" t="s">
        <v>107</v>
      </c>
      <c r="Q242" s="132">
        <v>0.25</v>
      </c>
      <c r="R242" s="36"/>
      <c r="S242" s="152" t="str">
        <f>IF('[2]E-ErgInt'!S242="","",'[2]E-ErgInt'!S242)</f>
        <v>Wasserrecht</v>
      </c>
      <c r="T242" s="36"/>
      <c r="U242" s="36"/>
      <c r="V242" s="36"/>
      <c r="W242" s="36"/>
      <c r="X242" s="877" t="str">
        <f>IF('[2]E-ErgInt'!X242="","",'[2]E-ErgInt'!X242)</f>
        <v>ÖCI Aktiengesellschaft </v>
      </c>
      <c r="Y242" s="36"/>
      <c r="Z242" s="36"/>
      <c r="AA242" s="36"/>
    </row>
    <row r="243" spans="1:27" s="1" customFormat="1" ht="12.75" customHeight="1">
      <c r="A243" s="831"/>
      <c r="B243" s="130"/>
      <c r="C243" s="36"/>
      <c r="D243" s="36"/>
      <c r="E243" s="881" t="s">
        <v>607</v>
      </c>
      <c r="F243" s="36"/>
      <c r="G243" s="36"/>
      <c r="H243" s="36"/>
      <c r="I243" s="36"/>
      <c r="J243" s="36"/>
      <c r="K243" s="36"/>
      <c r="L243" s="36"/>
      <c r="M243" s="36"/>
      <c r="N243" s="36"/>
      <c r="O243" s="149"/>
      <c r="P243" s="36"/>
      <c r="Q243" s="36"/>
      <c r="R243" s="36"/>
      <c r="S243" s="152" t="str">
        <f>IF('[2]E-ErgInt'!S243="","",'[2]E-ErgInt'!S243)</f>
        <v>Belastungsverbot</v>
      </c>
      <c r="T243" s="36"/>
      <c r="U243" s="36"/>
      <c r="V243" s="36"/>
      <c r="W243" s="36"/>
      <c r="X243" s="36" t="str">
        <f>IF('[2]E-ErgInt'!X243="","",'[2]E-ErgInt'!X243)</f>
        <v>Franz Burger </v>
      </c>
      <c r="Y243" s="36"/>
      <c r="Z243" s="36"/>
      <c r="AA243" s="36"/>
    </row>
    <row r="244" spans="1:27" s="1" customFormat="1" ht="12.75" customHeight="1">
      <c r="A244" s="831"/>
      <c r="B244" s="130"/>
      <c r="C244" s="36"/>
      <c r="D244" s="36"/>
      <c r="E244" s="1023"/>
      <c r="F244" s="1024"/>
      <c r="G244" s="1024"/>
      <c r="H244" s="1024"/>
      <c r="I244" s="1024"/>
      <c r="J244" s="1024"/>
      <c r="K244" s="1024"/>
      <c r="L244" s="1024"/>
      <c r="M244" s="1025"/>
      <c r="N244" s="36"/>
      <c r="O244" s="135">
        <f>IF(E244="","",IF('[2]E-ErgInt'!E244=E244,Q244,0))</f>
      </c>
      <c r="P244" s="36" t="s">
        <v>107</v>
      </c>
      <c r="Q244" s="132">
        <v>0.25</v>
      </c>
      <c r="R244" s="36"/>
      <c r="S244" s="152" t="str">
        <f>IF('[2]E-ErgInt'!S244="","",'[2]E-ErgInt'!S244)</f>
        <v>Duldung einer elektrischen Hochspannungsleitung</v>
      </c>
      <c r="T244" s="36"/>
      <c r="U244" s="36"/>
      <c r="V244" s="36"/>
      <c r="W244" s="36"/>
      <c r="X244" s="36" t="str">
        <f>IF('[2]E-ErgInt'!X244="","",'[2]E-ErgInt'!X244)</f>
        <v>Gemeinde  Mils</v>
      </c>
      <c r="Y244" s="36"/>
      <c r="Z244" s="36"/>
      <c r="AA244" s="36"/>
    </row>
    <row r="245" spans="1:27" s="1" customFormat="1" ht="12.75" customHeight="1">
      <c r="A245" s="831"/>
      <c r="B245" s="130"/>
      <c r="C245" s="36"/>
      <c r="D245" s="36"/>
      <c r="E245" s="880"/>
      <c r="F245" s="880"/>
      <c r="G245" s="880"/>
      <c r="H245" s="880"/>
      <c r="I245" s="880"/>
      <c r="J245" s="880"/>
      <c r="K245" s="880"/>
      <c r="L245" s="880"/>
      <c r="M245" s="880"/>
      <c r="N245" s="36"/>
      <c r="O245" s="149"/>
      <c r="P245" s="36"/>
      <c r="Q245" s="36"/>
      <c r="R245" s="36"/>
      <c r="S245" s="152" t="str">
        <f>IF('[2]E-ErgInt'!S245="","",'[2]E-ErgInt'!S245)</f>
        <v>Vorkaufsrecht</v>
      </c>
      <c r="T245" s="36"/>
      <c r="U245" s="36"/>
      <c r="V245" s="36"/>
      <c r="W245" s="36"/>
      <c r="X245" s="36"/>
      <c r="Y245" s="36"/>
      <c r="Z245" s="36"/>
      <c r="AA245" s="36"/>
    </row>
    <row r="246" spans="1:27" s="1" customFormat="1" ht="12.75" customHeight="1">
      <c r="A246" s="831"/>
      <c r="B246" s="130"/>
      <c r="C246" s="36"/>
      <c r="D246" s="36"/>
      <c r="E246" s="881" t="s">
        <v>609</v>
      </c>
      <c r="F246" s="36"/>
      <c r="G246" s="36"/>
      <c r="H246" s="36"/>
      <c r="I246" s="36"/>
      <c r="J246" s="36"/>
      <c r="K246" s="36"/>
      <c r="L246" s="36"/>
      <c r="M246" s="36"/>
      <c r="N246" s="36"/>
      <c r="O246" s="149"/>
      <c r="P246" s="36"/>
      <c r="Q246" s="36"/>
      <c r="R246" s="36"/>
      <c r="S246" s="152" t="str">
        <f>IF('[2]E-ErgInt'!S246="","",'[2]E-ErgInt'!S246)</f>
        <v>Wegerecht</v>
      </c>
      <c r="T246" s="36"/>
      <c r="U246" s="36"/>
      <c r="V246" s="36"/>
      <c r="W246" s="36"/>
      <c r="X246" s="36"/>
      <c r="Y246" s="36"/>
      <c r="Z246" s="36"/>
      <c r="AA246" s="36"/>
    </row>
    <row r="247" spans="1:27" s="1" customFormat="1" ht="12.75" customHeight="1">
      <c r="A247" s="831"/>
      <c r="B247" s="130"/>
      <c r="C247" s="36"/>
      <c r="D247" s="36"/>
      <c r="E247" s="1023"/>
      <c r="F247" s="1024"/>
      <c r="G247" s="1024"/>
      <c r="H247" s="1024"/>
      <c r="I247" s="1024"/>
      <c r="J247" s="1024"/>
      <c r="K247" s="1024"/>
      <c r="L247" s="1024"/>
      <c r="M247" s="1025"/>
      <c r="N247" s="36"/>
      <c r="O247" s="135">
        <f>IF(E247="","",IF('[2]E-ErgInt'!E247=E247,Q247,0))</f>
      </c>
      <c r="P247" s="36" t="s">
        <v>107</v>
      </c>
      <c r="Q247" s="132">
        <v>0.25</v>
      </c>
      <c r="R247" s="36"/>
      <c r="S247" s="152" t="str">
        <f>IF('[2]E-ErgInt'!S247="","",'[2]E-ErgInt'!S247)</f>
        <v>Veräußerungsverbot</v>
      </c>
      <c r="T247" s="36"/>
      <c r="U247" s="36"/>
      <c r="V247" s="36"/>
      <c r="W247" s="36"/>
      <c r="X247" s="36"/>
      <c r="Y247" s="36"/>
      <c r="Z247" s="36"/>
      <c r="AA247" s="36"/>
    </row>
    <row r="248" spans="1:27" s="1" customFormat="1" ht="12.75" customHeight="1">
      <c r="A248" s="831"/>
      <c r="B248" s="130"/>
      <c r="C248" s="36"/>
      <c r="D248" s="36"/>
      <c r="E248" s="881" t="s">
        <v>607</v>
      </c>
      <c r="F248" s="36"/>
      <c r="G248" s="36"/>
      <c r="H248" s="36"/>
      <c r="I248" s="36"/>
      <c r="J248" s="36"/>
      <c r="K248" s="36"/>
      <c r="L248" s="36"/>
      <c r="M248" s="36"/>
      <c r="N248" s="36"/>
      <c r="O248" s="149"/>
      <c r="P248" s="36"/>
      <c r="Q248" s="36"/>
      <c r="R248" s="36"/>
      <c r="S248" s="152" t="str">
        <f>IF('[2]E-ErgInt'!S248="","",'[2]E-ErgInt'!S248)</f>
        <v>Holzbringungsrecht</v>
      </c>
      <c r="T248" s="36"/>
      <c r="U248" s="36"/>
      <c r="V248" s="36"/>
      <c r="W248" s="36"/>
      <c r="X248" s="36"/>
      <c r="Y248" s="36"/>
      <c r="Z248" s="36"/>
      <c r="AA248" s="36"/>
    </row>
    <row r="249" spans="1:27" s="1" customFormat="1" ht="12.75" customHeight="1">
      <c r="A249" s="831"/>
      <c r="B249" s="130"/>
      <c r="C249" s="36"/>
      <c r="D249" s="36"/>
      <c r="E249" s="1023"/>
      <c r="F249" s="1024"/>
      <c r="G249" s="1024"/>
      <c r="H249" s="1024"/>
      <c r="I249" s="1024"/>
      <c r="J249" s="1024"/>
      <c r="K249" s="1024"/>
      <c r="L249" s="1024"/>
      <c r="M249" s="1025"/>
      <c r="N249" s="36"/>
      <c r="O249" s="135">
        <f>IF(E249="","",IF('[2]E-ErgInt'!E249=E249,Q249,0))</f>
      </c>
      <c r="P249" s="36" t="s">
        <v>107</v>
      </c>
      <c r="Q249" s="132">
        <v>0.25</v>
      </c>
      <c r="R249" s="36"/>
      <c r="S249" s="152" t="str">
        <f>IF('[2]E-ErgInt'!S249="","",'[2]E-ErgInt'!S249)</f>
        <v>Duldung eines Handymasten</v>
      </c>
      <c r="T249" s="36"/>
      <c r="U249" s="36"/>
      <c r="V249" s="36"/>
      <c r="W249" s="36"/>
      <c r="X249" s="36"/>
      <c r="Y249" s="36"/>
      <c r="Z249" s="36"/>
      <c r="AA249" s="36"/>
    </row>
    <row r="250" spans="1:27" s="1" customFormat="1" ht="12.75" customHeight="1">
      <c r="A250" s="831"/>
      <c r="B250" s="130"/>
      <c r="C250" s="36"/>
      <c r="D250" s="36"/>
      <c r="E250" s="880"/>
      <c r="F250" s="880"/>
      <c r="G250" s="880"/>
      <c r="H250" s="880"/>
      <c r="I250" s="880"/>
      <c r="J250" s="880"/>
      <c r="K250" s="880"/>
      <c r="L250" s="880"/>
      <c r="M250" s="880"/>
      <c r="N250" s="36"/>
      <c r="O250" s="149"/>
      <c r="P250" s="36"/>
      <c r="Q250" s="36"/>
      <c r="R250" s="36"/>
      <c r="S250" s="152" t="str">
        <f>IF('[2]E-ErgInt'!S250="","",'[2]E-ErgInt'!S250)</f>
        <v>Wohnrecht</v>
      </c>
      <c r="T250" s="36"/>
      <c r="U250" s="36"/>
      <c r="V250" s="36"/>
      <c r="W250" s="36"/>
      <c r="X250" s="36"/>
      <c r="Y250" s="36"/>
      <c r="Z250" s="36"/>
      <c r="AA250" s="36"/>
    </row>
    <row r="251" spans="1:27" s="1" customFormat="1" ht="12.75" customHeight="1">
      <c r="A251" s="831"/>
      <c r="B251" s="130"/>
      <c r="C251" s="36"/>
      <c r="D251" s="36"/>
      <c r="E251" s="881" t="s">
        <v>610</v>
      </c>
      <c r="F251" s="36"/>
      <c r="G251" s="36"/>
      <c r="H251" s="36"/>
      <c r="I251" s="36"/>
      <c r="J251" s="36"/>
      <c r="K251" s="36"/>
      <c r="L251" s="36"/>
      <c r="M251" s="36"/>
      <c r="N251" s="36"/>
      <c r="O251" s="149"/>
      <c r="P251" s="36"/>
      <c r="Q251" s="36"/>
      <c r="R251" s="36"/>
      <c r="S251" s="152" t="str">
        <f>IF('[2]E-ErgInt'!S251="","",'[2]E-ErgInt'!S251)</f>
        <v>Belastungs- und Veräußerungsverbot</v>
      </c>
      <c r="T251" s="36"/>
      <c r="U251" s="36"/>
      <c r="V251" s="36"/>
      <c r="W251" s="36"/>
      <c r="X251" s="36"/>
      <c r="Y251" s="36"/>
      <c r="Z251" s="36"/>
      <c r="AA251" s="36"/>
    </row>
    <row r="252" spans="1:27" s="1" customFormat="1" ht="12.75" customHeight="1">
      <c r="A252" s="831"/>
      <c r="B252" s="130"/>
      <c r="C252" s="36"/>
      <c r="D252" s="36"/>
      <c r="E252" s="1023"/>
      <c r="F252" s="1024"/>
      <c r="G252" s="1024"/>
      <c r="H252" s="1024"/>
      <c r="I252" s="1024"/>
      <c r="J252" s="1024"/>
      <c r="K252" s="1024"/>
      <c r="L252" s="1024"/>
      <c r="M252" s="1025"/>
      <c r="N252" s="36"/>
      <c r="O252" s="135">
        <f>IF(E252="","",IF('[2]E-ErgInt'!E252=E252,Q252,0))</f>
      </c>
      <c r="P252" s="36" t="s">
        <v>107</v>
      </c>
      <c r="Q252" s="132">
        <v>0.25</v>
      </c>
      <c r="R252" s="36"/>
      <c r="S252" s="152" t="str">
        <f>IF('[2]E-ErgInt'!S252="","",'[2]E-ErgInt'!S252)</f>
        <v>Anschlusspflicht</v>
      </c>
      <c r="T252" s="36"/>
      <c r="U252" s="36"/>
      <c r="V252" s="36"/>
      <c r="W252" s="36"/>
      <c r="X252" s="36"/>
      <c r="Y252" s="36"/>
      <c r="Z252" s="36"/>
      <c r="AA252" s="36"/>
    </row>
    <row r="253" spans="1:27" s="1" customFormat="1" ht="12.75" customHeight="1">
      <c r="A253" s="831"/>
      <c r="B253" s="130"/>
      <c r="C253" s="36"/>
      <c r="D253" s="36"/>
      <c r="E253" s="881" t="s">
        <v>607</v>
      </c>
      <c r="F253" s="36"/>
      <c r="G253" s="36"/>
      <c r="H253" s="36"/>
      <c r="I253" s="36"/>
      <c r="J253" s="36"/>
      <c r="K253" s="36"/>
      <c r="L253" s="36"/>
      <c r="M253" s="36"/>
      <c r="N253" s="36"/>
      <c r="O253" s="149"/>
      <c r="P253" s="36"/>
      <c r="Q253" s="36"/>
      <c r="R253" s="36"/>
      <c r="S253" s="152" t="str">
        <f>IF('[2]E-ErgInt'!S253="","",'[2]E-ErgInt'!S253)</f>
        <v>Fruchtgenussrecht</v>
      </c>
      <c r="T253" s="36"/>
      <c r="U253" s="36"/>
      <c r="V253" s="36"/>
      <c r="W253" s="36"/>
      <c r="X253" s="36"/>
      <c r="Y253" s="36"/>
      <c r="Z253" s="36"/>
      <c r="AA253" s="36"/>
    </row>
    <row r="254" spans="1:27" s="1" customFormat="1" ht="12.75" customHeight="1">
      <c r="A254" s="831"/>
      <c r="B254" s="130"/>
      <c r="C254" s="36"/>
      <c r="D254" s="36"/>
      <c r="E254" s="1023"/>
      <c r="F254" s="1024"/>
      <c r="G254" s="1024"/>
      <c r="H254" s="1024"/>
      <c r="I254" s="1024"/>
      <c r="J254" s="1024"/>
      <c r="K254" s="1024"/>
      <c r="L254" s="1024"/>
      <c r="M254" s="1025"/>
      <c r="N254" s="36"/>
      <c r="O254" s="135">
        <f>IF(E254="","",IF('[2]E-ErgInt'!E254=E254,Q254,0))</f>
      </c>
      <c r="P254" s="36" t="s">
        <v>107</v>
      </c>
      <c r="Q254" s="132">
        <v>0.25</v>
      </c>
      <c r="R254" s="36"/>
      <c r="S254" s="36"/>
      <c r="T254" s="36"/>
      <c r="U254" s="36"/>
      <c r="V254" s="36"/>
      <c r="W254" s="36"/>
      <c r="X254" s="36"/>
      <c r="Y254" s="36"/>
      <c r="Z254" s="36"/>
      <c r="AA254" s="36"/>
    </row>
    <row r="255" spans="1:27" s="1" customFormat="1" ht="12.75" customHeight="1">
      <c r="A255" s="831"/>
      <c r="B255" s="130"/>
      <c r="C255" s="36"/>
      <c r="D255" s="36"/>
      <c r="E255" s="880"/>
      <c r="F255" s="880"/>
      <c r="G255" s="880"/>
      <c r="H255" s="880"/>
      <c r="I255" s="880"/>
      <c r="J255" s="880"/>
      <c r="K255" s="880"/>
      <c r="L255" s="880"/>
      <c r="M255" s="880"/>
      <c r="N255" s="36"/>
      <c r="O255" s="149"/>
      <c r="P255" s="36"/>
      <c r="Q255" s="36"/>
      <c r="R255" s="36"/>
      <c r="S255" s="36"/>
      <c r="T255" s="36"/>
      <c r="U255" s="36"/>
      <c r="V255" s="36"/>
      <c r="W255" s="36"/>
      <c r="X255" s="36"/>
      <c r="Y255" s="36"/>
      <c r="Z255" s="36"/>
      <c r="AA255" s="36"/>
    </row>
    <row r="256" spans="1:27" s="1" customFormat="1" ht="12.75" customHeight="1">
      <c r="A256" s="831"/>
      <c r="B256" s="130"/>
      <c r="C256" s="36"/>
      <c r="D256" s="36" t="s">
        <v>585</v>
      </c>
      <c r="E256" s="881" t="s">
        <v>611</v>
      </c>
      <c r="F256" s="36"/>
      <c r="G256" s="36"/>
      <c r="H256" s="36"/>
      <c r="I256" s="36"/>
      <c r="J256" s="36"/>
      <c r="K256" s="36"/>
      <c r="L256" s="36"/>
      <c r="M256" s="36"/>
      <c r="N256" s="36"/>
      <c r="O256" s="149"/>
      <c r="P256" s="36"/>
      <c r="Q256" s="36"/>
      <c r="R256" s="36"/>
      <c r="S256" s="36"/>
      <c r="T256" s="36"/>
      <c r="U256" s="36"/>
      <c r="V256" s="36"/>
      <c r="W256" s="36"/>
      <c r="X256" s="36"/>
      <c r="Y256" s="36"/>
      <c r="Z256" s="36"/>
      <c r="AA256" s="36"/>
    </row>
    <row r="257" spans="1:27" s="1" customFormat="1" ht="12.75" customHeight="1">
      <c r="A257" s="831"/>
      <c r="B257" s="130"/>
      <c r="C257" s="36"/>
      <c r="D257" s="36"/>
      <c r="E257" s="141"/>
      <c r="F257" s="874" t="s">
        <v>589</v>
      </c>
      <c r="G257" s="36"/>
      <c r="H257" s="36"/>
      <c r="I257" s="36"/>
      <c r="J257" s="36"/>
      <c r="K257" s="36"/>
      <c r="L257" s="36"/>
      <c r="M257" s="36"/>
      <c r="N257" s="36"/>
      <c r="O257" s="135">
        <f>IF(AND(E257='[2]E-ErgInt'!E257,E259='[2]E-ErgInt'!E259,E261='[2]E-ErgInt'!E261,E263='[2]E-ErgInt'!E263),Q257,"")</f>
      </c>
      <c r="P257" s="36" t="s">
        <v>107</v>
      </c>
      <c r="Q257" s="132">
        <v>1</v>
      </c>
      <c r="R257" s="36"/>
      <c r="S257" s="36"/>
      <c r="T257" s="36"/>
      <c r="U257" s="36"/>
      <c r="V257" s="36"/>
      <c r="W257" s="36"/>
      <c r="X257" s="36"/>
      <c r="Y257" s="36"/>
      <c r="Z257" s="36"/>
      <c r="AA257" s="36"/>
    </row>
    <row r="258" spans="1:27" s="1" customFormat="1" ht="3.75" customHeight="1">
      <c r="A258" s="831"/>
      <c r="B258" s="130"/>
      <c r="C258" s="36"/>
      <c r="D258" s="36"/>
      <c r="E258" s="36"/>
      <c r="F258" s="36"/>
      <c r="G258" s="36"/>
      <c r="H258" s="36"/>
      <c r="I258" s="36"/>
      <c r="J258" s="36"/>
      <c r="K258" s="36"/>
      <c r="L258" s="36"/>
      <c r="M258" s="36"/>
      <c r="N258" s="36"/>
      <c r="O258" s="149"/>
      <c r="P258" s="36"/>
      <c r="Q258" s="36"/>
      <c r="R258" s="36"/>
      <c r="S258" s="36"/>
      <c r="T258" s="36"/>
      <c r="U258" s="36"/>
      <c r="V258" s="36"/>
      <c r="W258" s="36"/>
      <c r="X258" s="36"/>
      <c r="Y258" s="36"/>
      <c r="Z258" s="36"/>
      <c r="AA258" s="36"/>
    </row>
    <row r="259" spans="1:27" s="1" customFormat="1" ht="12.75" customHeight="1">
      <c r="A259" s="831"/>
      <c r="B259" s="130"/>
      <c r="C259" s="36"/>
      <c r="D259" s="36"/>
      <c r="E259" s="141"/>
      <c r="F259" s="874" t="s">
        <v>587</v>
      </c>
      <c r="G259" s="36"/>
      <c r="H259" s="36"/>
      <c r="I259" s="36"/>
      <c r="J259" s="36"/>
      <c r="K259" s="36"/>
      <c r="L259" s="36"/>
      <c r="M259" s="36"/>
      <c r="N259" s="36"/>
      <c r="O259" s="149"/>
      <c r="P259" s="36"/>
      <c r="Q259" s="36"/>
      <c r="R259" s="36"/>
      <c r="S259" s="36"/>
      <c r="T259" s="36"/>
      <c r="U259" s="36"/>
      <c r="V259" s="36"/>
      <c r="W259" s="36"/>
      <c r="X259" s="36"/>
      <c r="Y259" s="36"/>
      <c r="Z259" s="36"/>
      <c r="AA259" s="36"/>
    </row>
    <row r="260" spans="1:27" s="1" customFormat="1" ht="3.75" customHeight="1">
      <c r="A260" s="831"/>
      <c r="B260" s="130"/>
      <c r="C260" s="36"/>
      <c r="D260" s="36"/>
      <c r="E260" s="36"/>
      <c r="F260" s="36"/>
      <c r="G260" s="36"/>
      <c r="H260" s="36"/>
      <c r="I260" s="36"/>
      <c r="J260" s="36"/>
      <c r="K260" s="36"/>
      <c r="L260" s="36"/>
      <c r="M260" s="36"/>
      <c r="N260" s="36"/>
      <c r="O260" s="149"/>
      <c r="P260" s="36"/>
      <c r="Q260" s="36"/>
      <c r="R260" s="36"/>
      <c r="S260" s="36"/>
      <c r="T260" s="36"/>
      <c r="U260" s="36"/>
      <c r="V260" s="36"/>
      <c r="W260" s="36"/>
      <c r="X260" s="36"/>
      <c r="Y260" s="36"/>
      <c r="Z260" s="36"/>
      <c r="AA260" s="36"/>
    </row>
    <row r="261" spans="1:27" s="1" customFormat="1" ht="12.75" customHeight="1">
      <c r="A261" s="831"/>
      <c r="B261" s="130"/>
      <c r="C261" s="36"/>
      <c r="D261" s="36"/>
      <c r="E261" s="141"/>
      <c r="F261" s="874" t="s">
        <v>586</v>
      </c>
      <c r="G261" s="36"/>
      <c r="H261" s="36"/>
      <c r="I261" s="36"/>
      <c r="J261" s="36"/>
      <c r="K261" s="36"/>
      <c r="L261" s="36"/>
      <c r="M261" s="36"/>
      <c r="N261" s="36"/>
      <c r="O261" s="149"/>
      <c r="P261" s="36"/>
      <c r="Q261" s="36"/>
      <c r="R261" s="36"/>
      <c r="S261" s="36"/>
      <c r="T261" s="36"/>
      <c r="U261" s="36"/>
      <c r="V261" s="36"/>
      <c r="W261" s="36"/>
      <c r="X261" s="36"/>
      <c r="Y261" s="36"/>
      <c r="Z261" s="36"/>
      <c r="AA261" s="36"/>
    </row>
    <row r="262" spans="1:27" s="1" customFormat="1" ht="3.75" customHeight="1">
      <c r="A262" s="831"/>
      <c r="B262" s="130"/>
      <c r="C262" s="36"/>
      <c r="D262" s="36"/>
      <c r="E262" s="36"/>
      <c r="G262" s="36"/>
      <c r="H262" s="36"/>
      <c r="I262" s="36"/>
      <c r="J262" s="36"/>
      <c r="K262" s="36"/>
      <c r="L262" s="36"/>
      <c r="M262" s="36"/>
      <c r="N262" s="36"/>
      <c r="O262" s="149"/>
      <c r="P262" s="36"/>
      <c r="Q262" s="36"/>
      <c r="R262" s="36"/>
      <c r="S262" s="36"/>
      <c r="T262" s="36"/>
      <c r="U262" s="36"/>
      <c r="V262" s="36"/>
      <c r="W262" s="36"/>
      <c r="X262" s="36"/>
      <c r="Y262" s="36"/>
      <c r="Z262" s="36"/>
      <c r="AA262" s="36"/>
    </row>
    <row r="263" spans="1:27" s="1" customFormat="1" ht="12.75" customHeight="1">
      <c r="A263" s="831"/>
      <c r="B263" s="130"/>
      <c r="C263" s="36"/>
      <c r="D263" s="36"/>
      <c r="E263" s="141"/>
      <c r="F263" s="874" t="s">
        <v>588</v>
      </c>
      <c r="G263" s="36"/>
      <c r="H263" s="36"/>
      <c r="I263" s="36"/>
      <c r="J263" s="36"/>
      <c r="K263" s="36"/>
      <c r="L263" s="36"/>
      <c r="M263" s="36"/>
      <c r="N263" s="36"/>
      <c r="O263" s="149"/>
      <c r="P263" s="36"/>
      <c r="Q263" s="36"/>
      <c r="R263" s="36"/>
      <c r="S263" s="36"/>
      <c r="T263" s="36"/>
      <c r="U263" s="36"/>
      <c r="V263" s="36"/>
      <c r="W263" s="36"/>
      <c r="X263" s="36"/>
      <c r="Y263" s="36"/>
      <c r="Z263" s="36"/>
      <c r="AA263" s="36"/>
    </row>
    <row r="264" spans="1:27" s="1" customFormat="1" ht="12.75" customHeight="1">
      <c r="A264" s="831"/>
      <c r="B264" s="130"/>
      <c r="C264" s="36"/>
      <c r="D264" s="36"/>
      <c r="E264" s="36" t="s">
        <v>612</v>
      </c>
      <c r="F264" s="36"/>
      <c r="G264" s="36"/>
      <c r="H264" s="36"/>
      <c r="I264" s="36"/>
      <c r="J264" s="36"/>
      <c r="K264" s="36"/>
      <c r="L264" s="36"/>
      <c r="M264" s="36"/>
      <c r="N264" s="36"/>
      <c r="O264" s="149"/>
      <c r="P264" s="36"/>
      <c r="Q264" s="36"/>
      <c r="R264" s="36"/>
      <c r="S264" s="873" t="s">
        <v>590</v>
      </c>
      <c r="T264" s="873"/>
      <c r="U264" s="873"/>
      <c r="V264" s="873"/>
      <c r="W264" s="36"/>
      <c r="X264" s="36"/>
      <c r="Y264" s="36"/>
      <c r="Z264" s="36"/>
      <c r="AA264" s="36"/>
    </row>
    <row r="265" spans="1:27" s="1" customFormat="1" ht="12.75" customHeight="1">
      <c r="A265" s="831"/>
      <c r="B265" s="130"/>
      <c r="C265" s="36"/>
      <c r="D265" s="36"/>
      <c r="E265" s="1023"/>
      <c r="F265" s="1024"/>
      <c r="G265" s="1024"/>
      <c r="H265" s="1024"/>
      <c r="I265" s="1024"/>
      <c r="J265" s="1024"/>
      <c r="K265" s="1024"/>
      <c r="L265" s="1024"/>
      <c r="M265" s="1025"/>
      <c r="N265" s="36"/>
      <c r="O265" s="135">
        <f>IF(E265="","",IF('[2]E-ErgInt'!E265=E265,Q265,0))</f>
      </c>
      <c r="P265" s="36" t="s">
        <v>107</v>
      </c>
      <c r="Q265" s="132">
        <v>1</v>
      </c>
      <c r="R265" s="36"/>
      <c r="S265" s="36" t="str">
        <f>IF('[2]E-ErgInt'!S265="","",'[2]E-ErgInt'!S265)</f>
        <v>Rückreihung</v>
      </c>
      <c r="T265" s="36" t="str">
        <f>IF('[2]E-ErgInt'!T265="","",'[2]E-ErgInt'!T265)</f>
        <v>Vorrang</v>
      </c>
      <c r="U265" s="36" t="str">
        <f>IF('[2]E-ErgInt'!U265="","",'[2]E-ErgInt'!U265)</f>
        <v>Löschung</v>
      </c>
      <c r="V265" s="36" t="str">
        <f>IF('[2]E-ErgInt'!V265="","",'[2]E-ErgInt'!V265)</f>
        <v>Änderung</v>
      </c>
      <c r="W265" s="36"/>
      <c r="X265" s="36"/>
      <c r="Y265" s="36"/>
      <c r="Z265" s="36"/>
      <c r="AA265" s="36"/>
    </row>
    <row r="266" spans="1:27" s="1" customFormat="1" ht="12.75" customHeight="1">
      <c r="A266" s="831"/>
      <c r="B266" s="130"/>
      <c r="C266" s="36"/>
      <c r="D266" s="36"/>
      <c r="E266" s="880"/>
      <c r="F266" s="880"/>
      <c r="G266" s="880"/>
      <c r="H266" s="880"/>
      <c r="I266" s="880"/>
      <c r="J266" s="880"/>
      <c r="K266" s="880"/>
      <c r="L266" s="880"/>
      <c r="M266" s="880"/>
      <c r="N266" s="36"/>
      <c r="O266" s="149"/>
      <c r="P266" s="36"/>
      <c r="Q266" s="36"/>
      <c r="R266" s="36"/>
      <c r="S266" s="36"/>
      <c r="T266" s="36"/>
      <c r="U266" s="36"/>
      <c r="V266" s="36"/>
      <c r="W266" s="36"/>
      <c r="X266" s="36"/>
      <c r="Y266" s="36"/>
      <c r="Z266" s="36"/>
      <c r="AA266" s="36"/>
    </row>
    <row r="267" spans="1:17" s="36" customFormat="1" ht="12.75" customHeight="1">
      <c r="A267" s="831"/>
      <c r="B267" s="130"/>
      <c r="C267" s="168" t="s">
        <v>149</v>
      </c>
      <c r="D267" s="168"/>
      <c r="E267" s="169"/>
      <c r="F267" s="169"/>
      <c r="G267" s="168"/>
      <c r="H267" s="168"/>
      <c r="I267" s="168"/>
      <c r="J267" s="168"/>
      <c r="K267" s="168"/>
      <c r="L267" s="168"/>
      <c r="M267" s="168"/>
      <c r="N267" s="168"/>
      <c r="O267" s="170">
        <f>SUM(O2:O266)</f>
        <v>0</v>
      </c>
      <c r="P267" s="171" t="s">
        <v>107</v>
      </c>
      <c r="Q267" s="172">
        <f>SUM(Q2:Q266)</f>
        <v>79</v>
      </c>
    </row>
    <row r="268" spans="1:17" s="36" customFormat="1" ht="3" customHeight="1">
      <c r="A268" s="831"/>
      <c r="B268" s="130"/>
      <c r="C268" s="173"/>
      <c r="D268" s="173"/>
      <c r="E268" s="174"/>
      <c r="F268" s="174"/>
      <c r="G268" s="173"/>
      <c r="H268" s="173"/>
      <c r="I268" s="173"/>
      <c r="J268" s="173"/>
      <c r="K268" s="173"/>
      <c r="L268" s="173"/>
      <c r="M268" s="173"/>
      <c r="N268" s="173"/>
      <c r="O268" s="175"/>
      <c r="P268" s="176"/>
      <c r="Q268" s="177"/>
    </row>
    <row r="269" spans="1:27" ht="12.75" customHeight="1">
      <c r="A269" s="36"/>
      <c r="B269" s="130"/>
      <c r="C269" s="36"/>
      <c r="D269" s="36"/>
      <c r="E269" s="36"/>
      <c r="F269" s="36"/>
      <c r="G269" s="36"/>
      <c r="H269" s="36"/>
      <c r="I269" s="36"/>
      <c r="J269" s="36"/>
      <c r="K269" s="36"/>
      <c r="L269" s="36"/>
      <c r="M269" s="36"/>
      <c r="N269" s="36"/>
      <c r="O269" s="149"/>
      <c r="P269" s="36"/>
      <c r="Q269" s="36"/>
      <c r="R269" s="36"/>
      <c r="S269" s="36"/>
      <c r="T269" s="36"/>
      <c r="U269" s="36"/>
      <c r="V269" s="36"/>
      <c r="W269" s="36"/>
      <c r="X269" s="36"/>
      <c r="Y269" s="36"/>
      <c r="Z269" s="36"/>
      <c r="AA269" s="36"/>
    </row>
    <row r="270" spans="1:27" ht="12.75" customHeight="1">
      <c r="A270" s="832"/>
      <c r="B270" s="832"/>
      <c r="C270" s="832"/>
      <c r="D270" s="832"/>
      <c r="E270" s="832"/>
      <c r="F270" s="832"/>
      <c r="G270" s="832"/>
      <c r="H270" s="832"/>
      <c r="I270" s="832"/>
      <c r="J270" s="832"/>
      <c r="K270" s="832"/>
      <c r="L270" s="832"/>
      <c r="M270" s="832"/>
      <c r="N270" s="832"/>
      <c r="O270" s="833"/>
      <c r="P270" s="832"/>
      <c r="Q270" s="832"/>
      <c r="R270" s="832"/>
      <c r="S270" s="832"/>
      <c r="T270" s="832"/>
      <c r="U270" s="832"/>
      <c r="V270" s="832"/>
      <c r="W270" s="832"/>
      <c r="X270" s="832"/>
      <c r="Y270" s="832"/>
      <c r="Z270" s="832"/>
      <c r="AA270" s="832"/>
    </row>
    <row r="271" ht="12.75" customHeight="1" hidden="1"/>
    <row r="272" ht="12.75" customHeight="1" hidden="1"/>
  </sheetData>
  <sheetProtection sheet="1" objects="1" scenarios="1"/>
  <mergeCells count="67">
    <mergeCell ref="F19:M20"/>
    <mergeCell ref="F21:M23"/>
    <mergeCell ref="F51:M52"/>
    <mergeCell ref="F53:M54"/>
    <mergeCell ref="F55:M56"/>
    <mergeCell ref="D133:F133"/>
    <mergeCell ref="D129:F129"/>
    <mergeCell ref="D131:F131"/>
    <mergeCell ref="F94:M95"/>
    <mergeCell ref="F71:M72"/>
    <mergeCell ref="O1:Q1"/>
    <mergeCell ref="E14:M14"/>
    <mergeCell ref="E69:M69"/>
    <mergeCell ref="F27:M29"/>
    <mergeCell ref="F30:M32"/>
    <mergeCell ref="F33:M34"/>
    <mergeCell ref="E49:M49"/>
    <mergeCell ref="K5:M7"/>
    <mergeCell ref="F16:M18"/>
    <mergeCell ref="F57:M57"/>
    <mergeCell ref="F73:M75"/>
    <mergeCell ref="F76:M78"/>
    <mergeCell ref="A1:A2"/>
    <mergeCell ref="D135:F135"/>
    <mergeCell ref="D137:F137"/>
    <mergeCell ref="F111:M112"/>
    <mergeCell ref="F113:M114"/>
    <mergeCell ref="F115:M116"/>
    <mergeCell ref="E80:M80"/>
    <mergeCell ref="E90:M90"/>
    <mergeCell ref="F92:M93"/>
    <mergeCell ref="E25:M25"/>
    <mergeCell ref="D125:F125"/>
    <mergeCell ref="D143:F143"/>
    <mergeCell ref="D141:F141"/>
    <mergeCell ref="F117:M118"/>
    <mergeCell ref="F96:M97"/>
    <mergeCell ref="E99:J99"/>
    <mergeCell ref="E107:M107"/>
    <mergeCell ref="F109:M110"/>
    <mergeCell ref="D139:F139"/>
    <mergeCell ref="D127:F127"/>
    <mergeCell ref="E242:M242"/>
    <mergeCell ref="E225:M225"/>
    <mergeCell ref="E210:F210"/>
    <mergeCell ref="E208:F208"/>
    <mergeCell ref="E214:M214"/>
    <mergeCell ref="E162:F162"/>
    <mergeCell ref="E179:F179"/>
    <mergeCell ref="E181:F181"/>
    <mergeCell ref="E184:F184"/>
    <mergeCell ref="E187:F187"/>
    <mergeCell ref="E265:M265"/>
    <mergeCell ref="E244:M244"/>
    <mergeCell ref="E249:M249"/>
    <mergeCell ref="E247:M247"/>
    <mergeCell ref="E252:M252"/>
    <mergeCell ref="E254:M254"/>
    <mergeCell ref="E190:F190"/>
    <mergeCell ref="E192:F192"/>
    <mergeCell ref="E195:F195"/>
    <mergeCell ref="E239:M239"/>
    <mergeCell ref="E237:M237"/>
    <mergeCell ref="E203:M203"/>
    <mergeCell ref="E205:F205"/>
    <mergeCell ref="E197:F197"/>
    <mergeCell ref="E201:F201"/>
  </mergeCells>
  <conditionalFormatting sqref="O1:Q3 P150:Q150 O121 P120:Q121 O122:Q148 O152:Q152 O162:Q162 O165:Q165 O168:Q168 O179:Q179 O181:Q181 O184:Q184 O187:Q187 O190:Q190 O195:Q195 O197:Q197 O201:Q201 O203:Q203 O205:Q205 O208:Q208 O210:Q210 O214:Q214 O216:Q216 O220:Q220 O225:Q225 O227:Q227 O231:Q231 O237:Q237 O239:Q239 O242:Q242 O244:Q244 O247:Q247 O249:Q249 O252:Q252 O254:Q254 O257:Q257 O265:Q265 O192:Q192 C267:Q268 O111:Q119">
    <cfRule type="expression" priority="24" dxfId="41" stopIfTrue="1">
      <formula>$N$1&lt;&gt;"x"</formula>
    </cfRule>
  </conditionalFormatting>
  <conditionalFormatting sqref="O4:Q110">
    <cfRule type="expression" priority="22" dxfId="41" stopIfTrue="1">
      <formula>$N$1&lt;&gt;"x"</formula>
    </cfRule>
  </conditionalFormatting>
  <conditionalFormatting sqref="S5:S12 S14 S94:S106 S73:S89 S53:S68 S29:S49 S18:S25">
    <cfRule type="cellIs" priority="23" dxfId="138" operator="equal" stopIfTrue="1">
      <formula>""</formula>
    </cfRule>
  </conditionalFormatting>
  <conditionalFormatting sqref="S15">
    <cfRule type="cellIs" priority="21" dxfId="138" operator="equal" stopIfTrue="1">
      <formula>""</formula>
    </cfRule>
  </conditionalFormatting>
  <conditionalFormatting sqref="S16">
    <cfRule type="cellIs" priority="20" dxfId="138" operator="equal" stopIfTrue="1">
      <formula>""</formula>
    </cfRule>
  </conditionalFormatting>
  <conditionalFormatting sqref="S17">
    <cfRule type="cellIs" priority="19" dxfId="138" operator="equal" stopIfTrue="1">
      <formula>""</formula>
    </cfRule>
  </conditionalFormatting>
  <conditionalFormatting sqref="S26">
    <cfRule type="cellIs" priority="18" dxfId="138" operator="equal" stopIfTrue="1">
      <formula>""</formula>
    </cfRule>
  </conditionalFormatting>
  <conditionalFormatting sqref="S27">
    <cfRule type="cellIs" priority="17" dxfId="138" operator="equal" stopIfTrue="1">
      <formula>""</formula>
    </cfRule>
  </conditionalFormatting>
  <conditionalFormatting sqref="S28">
    <cfRule type="cellIs" priority="16" dxfId="138" operator="equal" stopIfTrue="1">
      <formula>""</formula>
    </cfRule>
  </conditionalFormatting>
  <conditionalFormatting sqref="S50">
    <cfRule type="cellIs" priority="15" dxfId="138" operator="equal" stopIfTrue="1">
      <formula>""</formula>
    </cfRule>
  </conditionalFormatting>
  <conditionalFormatting sqref="S51">
    <cfRule type="cellIs" priority="14" dxfId="138" operator="equal" stopIfTrue="1">
      <formula>""</formula>
    </cfRule>
  </conditionalFormatting>
  <conditionalFormatting sqref="S52">
    <cfRule type="cellIs" priority="13" dxfId="138" operator="equal" stopIfTrue="1">
      <formula>""</formula>
    </cfRule>
  </conditionalFormatting>
  <conditionalFormatting sqref="S69">
    <cfRule type="cellIs" priority="12" dxfId="138" operator="equal" stopIfTrue="1">
      <formula>""</formula>
    </cfRule>
  </conditionalFormatting>
  <conditionalFormatting sqref="S70">
    <cfRule type="cellIs" priority="11" dxfId="138" operator="equal" stopIfTrue="1">
      <formula>""</formula>
    </cfRule>
  </conditionalFormatting>
  <conditionalFormatting sqref="S71">
    <cfRule type="cellIs" priority="10" dxfId="138" operator="equal" stopIfTrue="1">
      <formula>""</formula>
    </cfRule>
  </conditionalFormatting>
  <conditionalFormatting sqref="S72">
    <cfRule type="cellIs" priority="9" dxfId="138" operator="equal" stopIfTrue="1">
      <formula>""</formula>
    </cfRule>
  </conditionalFormatting>
  <conditionalFormatting sqref="S90">
    <cfRule type="cellIs" priority="8" dxfId="138" operator="equal" stopIfTrue="1">
      <formula>""</formula>
    </cfRule>
  </conditionalFormatting>
  <conditionalFormatting sqref="S91">
    <cfRule type="cellIs" priority="7" dxfId="138" operator="equal" stopIfTrue="1">
      <formula>""</formula>
    </cfRule>
  </conditionalFormatting>
  <conditionalFormatting sqref="S92">
    <cfRule type="cellIs" priority="6" dxfId="138" operator="equal" stopIfTrue="1">
      <formula>""</formula>
    </cfRule>
  </conditionalFormatting>
  <conditionalFormatting sqref="S93">
    <cfRule type="cellIs" priority="5" dxfId="138" operator="equal" stopIfTrue="1">
      <formula>""</formula>
    </cfRule>
  </conditionalFormatting>
  <conditionalFormatting sqref="S107">
    <cfRule type="cellIs" priority="4" dxfId="138" operator="equal" stopIfTrue="1">
      <formula>""</formula>
    </cfRule>
  </conditionalFormatting>
  <conditionalFormatting sqref="S108">
    <cfRule type="cellIs" priority="3" dxfId="138" operator="equal" stopIfTrue="1">
      <formula>""</formula>
    </cfRule>
  </conditionalFormatting>
  <conditionalFormatting sqref="S109">
    <cfRule type="cellIs" priority="2" dxfId="138" operator="equal" stopIfTrue="1">
      <formula>""</formula>
    </cfRule>
  </conditionalFormatting>
  <conditionalFormatting sqref="S110">
    <cfRule type="cellIs" priority="1" dxfId="138" operator="equal" stopIfTrue="1">
      <formula>""</formula>
    </cfRule>
  </conditionalFormatting>
  <dataValidations count="16">
    <dataValidation type="list" allowBlank="1" showInputMessage="1" showErrorMessage="1" sqref="E14:M14">
      <formula1>VglLHK_GEK</formula1>
    </dataValidation>
    <dataValidation type="list" allowBlank="1" showInputMessage="1" showErrorMessage="1" sqref="E25:M25">
      <formula1>VglKD_KDG</formula1>
    </dataValidation>
    <dataValidation type="list" allowBlank="1" showInputMessage="1" showErrorMessage="1" sqref="E263 E257 E259 E261 E233 E231 E222 E220 E168 E170 E172 E174 E176:E177 E152:E158 E100 E102 E96 E81 E83 E71 E62 E60 E55 E57 E40 E38 E33 E30 E27 E19 E21 E16 E51 E53 E73 E76 E92 E94 E109 E111 E113 E115 E117">
      <formula1>Ankreuzen</formula1>
    </dataValidation>
    <dataValidation type="list" allowBlank="1" showInputMessage="1" showErrorMessage="1" sqref="E49:M49">
      <formula1>Wirtschaftlichkeit</formula1>
    </dataValidation>
    <dataValidation type="list" allowBlank="1" showInputMessage="1" showErrorMessage="1" sqref="F56 F58 G55:M58 F54:M54">
      <formula1>FolgerungenWirtschaftlichkeit</formula1>
    </dataValidation>
    <dataValidation type="list" allowBlank="1" showInputMessage="1" showErrorMessage="1" sqref="E69:M69">
      <formula1>Finanzierbarkeit</formula1>
    </dataValidation>
    <dataValidation type="list" allowBlank="1" showInputMessage="1" showErrorMessage="1" sqref="F74:F75 F77:F78 G71:M78 F72">
      <formula1>FolgerungenFinanzierbarkeit</formula1>
    </dataValidation>
    <dataValidation type="list" allowBlank="1" showInputMessage="1" showErrorMessage="1" sqref="F95 E90:M90 G92:M95 F93">
      <formula1>Arbeitskräfte</formula1>
    </dataValidation>
    <dataValidation type="list" allowBlank="1" showInputMessage="1" showErrorMessage="1" sqref="E107:M107">
      <formula1>Energiebilanz</formula1>
    </dataValidation>
    <dataValidation type="list" allowBlank="1" showInputMessage="1" showErrorMessage="1" sqref="E184 E195 E179 E208">
      <formula1>"E-Blatt,C-Blatt,A1-Blatt,B1-Blatt,B2-Blatt,C1-Blatt,A2-Blatt,F-Blatt,B-Blatt,A3-Blatt,C2-Blatt,"</formula1>
    </dataValidation>
    <dataValidation type="list" allowBlank="1" showInputMessage="1" showErrorMessage="1" sqref="E181:F181 E197:F197 E210:F210">
      <formula1>"Einlageblatt,Eigentumsblatt,Grundstücksblatt,Lastenblatt,Gutsbestandsblatt,Rechteblatt"</formula1>
    </dataValidation>
    <dataValidation type="list" allowBlank="1" showInputMessage="1" showErrorMessage="1" sqref="E237:M237 E242:M242 E247:M247 E252:M252">
      <formula1>$S$237:$S$253</formula1>
    </dataValidation>
    <dataValidation type="list" allowBlank="1" showInputMessage="1" showErrorMessage="1" sqref="E239:M239 E244:M244 E249:M249 E254:M254">
      <formula1>$X$237:$X$244</formula1>
    </dataValidation>
    <dataValidation type="list" allowBlank="1" showInputMessage="1" showErrorMessage="1" sqref="E265:M265">
      <formula1>$S$265:$V$265</formula1>
    </dataValidation>
    <dataValidation type="list" allowBlank="1" showInputMessage="1" showErrorMessage="1" sqref="E203:M203">
      <formula1>$S$200:$S$206</formula1>
    </dataValidation>
    <dataValidation type="list" allowBlank="1" showInputMessage="1" showErrorMessage="1" sqref="E214:M214 E225:M225">
      <formula1>$S$211:$S$216</formula1>
    </dataValidation>
  </dataValidations>
  <printOptions/>
  <pageMargins left="0.7874015748031497" right="0.7874015748031497" top="0.7874015748031497" bottom="0.3937007874015748" header="0.3937007874015748" footer="0"/>
  <pageSetup fitToHeight="4" horizontalDpi="300" verticalDpi="300" orientation="portrait" paperSize="9" scale="80" r:id="rId1"/>
  <headerFooter alignWithMargins="0">
    <oddHeader>&amp;R&amp;8&amp;U&amp;F - Seite &amp;P/&amp;N</oddHeader>
  </headerFooter>
  <rowBreaks count="3" manualBreakCount="3">
    <brk id="79" min="2" max="16" man="1"/>
    <brk id="159" min="2" max="16" man="1"/>
    <brk id="234" min="2" max="16" man="1"/>
  </rowBreaks>
</worksheet>
</file>

<file path=xl/worksheets/sheet3.xml><?xml version="1.0" encoding="utf-8"?>
<worksheet xmlns="http://schemas.openxmlformats.org/spreadsheetml/2006/main" xmlns:r="http://schemas.openxmlformats.org/officeDocument/2006/relationships">
  <sheetPr>
    <tabColor indexed="10"/>
  </sheetPr>
  <dimension ref="A1:L62"/>
  <sheetViews>
    <sheetView showGridLines="0" zoomScalePageLayoutView="0" workbookViewId="0" topLeftCell="A1">
      <pane ySplit="4" topLeftCell="A5" activePane="bottomLeft" state="frozen"/>
      <selection pane="topLeft" activeCell="E12" sqref="E12:M18"/>
      <selection pane="bottomLeft" activeCell="G11" sqref="G11"/>
    </sheetView>
  </sheetViews>
  <sheetFormatPr defaultColWidth="0" defaultRowHeight="0" customHeight="1" zeroHeight="1"/>
  <cols>
    <col min="1" max="1" width="2.7109375" style="233" customWidth="1"/>
    <col min="2" max="2" width="18.57421875" style="233" customWidth="1"/>
    <col min="3" max="7" width="12.7109375" style="233" customWidth="1"/>
    <col min="8" max="8" width="2.7109375" style="233" customWidth="1"/>
    <col min="9" max="9" width="0.85546875" style="178" customWidth="1"/>
    <col min="10" max="10" width="21.7109375" style="178" customWidth="1"/>
    <col min="11" max="12" width="8.140625" style="233" hidden="1" customWidth="1"/>
    <col min="13" max="14" width="20.57421875" style="233" hidden="1" customWidth="1"/>
    <col min="15" max="16384" width="11.421875" style="233" hidden="1" customWidth="1"/>
  </cols>
  <sheetData>
    <row r="1" spans="1:10" ht="24.75" customHeight="1">
      <c r="A1" s="1052"/>
      <c r="B1" s="231" t="s">
        <v>501</v>
      </c>
      <c r="C1" s="232"/>
      <c r="D1" s="232"/>
      <c r="E1" s="232"/>
      <c r="F1" s="232"/>
      <c r="G1" s="232"/>
      <c r="H1" s="232"/>
      <c r="I1" s="129"/>
      <c r="J1" s="1043" t="s">
        <v>100</v>
      </c>
    </row>
    <row r="2" spans="1:10" ht="12" customHeight="1">
      <c r="A2" s="1052"/>
      <c r="B2" s="234" t="s">
        <v>210</v>
      </c>
      <c r="C2" s="235"/>
      <c r="D2" s="235"/>
      <c r="E2" s="235"/>
      <c r="F2" s="235"/>
      <c r="G2" s="235"/>
      <c r="H2" s="235"/>
      <c r="I2" s="130"/>
      <c r="J2" s="1043"/>
    </row>
    <row r="3" spans="1:10" ht="12" customHeight="1">
      <c r="A3" s="179"/>
      <c r="B3" s="236" t="s">
        <v>211</v>
      </c>
      <c r="C3" s="237"/>
      <c r="D3" s="237"/>
      <c r="E3" s="237"/>
      <c r="F3" s="237"/>
      <c r="G3" s="237"/>
      <c r="H3" s="237"/>
      <c r="I3" s="130"/>
      <c r="J3" s="1043"/>
    </row>
    <row r="4" spans="2:10" ht="19.5" customHeight="1">
      <c r="B4" s="238"/>
      <c r="I4" s="130"/>
      <c r="J4" s="1043"/>
    </row>
    <row r="5" spans="2:10" s="220" customFormat="1" ht="19.5" customHeight="1">
      <c r="B5" s="215" t="s">
        <v>191</v>
      </c>
      <c r="C5" s="239" t="s">
        <v>188</v>
      </c>
      <c r="D5" s="239" t="s">
        <v>192</v>
      </c>
      <c r="E5" s="240" t="s">
        <v>212</v>
      </c>
      <c r="F5" s="239" t="s">
        <v>213</v>
      </c>
      <c r="G5" s="239" t="s">
        <v>214</v>
      </c>
      <c r="I5" s="130"/>
      <c r="J5" s="133"/>
    </row>
    <row r="6" spans="2:10" s="220" customFormat="1" ht="15" customHeight="1">
      <c r="B6" s="216" t="str">
        <f>IF(Plan!F5="","",Plan!F5)</f>
        <v>Eigenkapital</v>
      </c>
      <c r="C6" s="202">
        <f>IF(Plan!G5="","",Plan!G5)</f>
        <v>44650</v>
      </c>
      <c r="D6" s="218">
        <f>IF(Plan!H5="","",Plan!H5)</f>
        <v>0.03</v>
      </c>
      <c r="E6" s="241">
        <f>IF(B6="","",-PMT(D6,F6,C6)/C6)</f>
        <v>0.05101925932025257</v>
      </c>
      <c r="F6" s="217">
        <f>IF(B6="","",IF(Plan!D5="","",Plan!D5))</f>
        <v>30</v>
      </c>
      <c r="G6" s="202">
        <f>PMT(D6,F6,C6)</f>
        <v>-2278.0099286492773</v>
      </c>
      <c r="I6" s="130"/>
      <c r="J6" s="133"/>
    </row>
    <row r="7" spans="2:10" s="220" customFormat="1" ht="15" customHeight="1">
      <c r="B7" s="216" t="str">
        <f>IF(Plan!F6="","",Plan!F6)</f>
        <v>AIK-Kredit</v>
      </c>
      <c r="C7" s="202">
        <f>IF(Plan!G6="","",Plan!G6)</f>
        <v>12000</v>
      </c>
      <c r="D7" s="218">
        <f>IF(Plan!H6="","",Plan!H6)</f>
        <v>0.025</v>
      </c>
      <c r="E7" s="241">
        <f>IF(B7="","",-PMT(D7,F7,C7)/C7)</f>
        <v>0.04777764073617646</v>
      </c>
      <c r="F7" s="217">
        <f>IF(B7="","",IF(Plan!D5="","",Plan!D5))</f>
        <v>30</v>
      </c>
      <c r="G7" s="202">
        <f>PMT(D7,F7,C7)</f>
        <v>-573.3316888341176</v>
      </c>
      <c r="I7" s="130"/>
      <c r="J7" s="133"/>
    </row>
    <row r="8" spans="2:10" s="220" customFormat="1" ht="15" customHeight="1">
      <c r="B8" s="216">
        <f>IF(Plan!F7="","",Plan!F7)</f>
      </c>
      <c r="C8" s="202">
        <f>IF(Plan!G7="","",Plan!G7)</f>
      </c>
      <c r="D8" s="218">
        <f>IF(Plan!H7="","",Plan!H7)</f>
      </c>
      <c r="E8" s="241">
        <f>IF(B8="","",-PMT(D8,F8,C8)/C8)</f>
      </c>
      <c r="F8" s="217"/>
      <c r="G8" s="202"/>
      <c r="I8" s="130"/>
      <c r="J8" s="133"/>
    </row>
    <row r="9" spans="2:10" s="220" customFormat="1" ht="15" customHeight="1">
      <c r="B9" s="216">
        <f>IF(Plan!F8="","",Plan!F8)</f>
      </c>
      <c r="C9" s="202">
        <f>IF(Plan!G8="","",Plan!G8)</f>
      </c>
      <c r="D9" s="218">
        <f>IF(Plan!H8="","",Plan!H8)</f>
      </c>
      <c r="E9" s="241">
        <f>IF(B9="","",-PMT(D9,F9,C9)/C9)</f>
      </c>
      <c r="F9" s="217"/>
      <c r="G9" s="202"/>
      <c r="I9" s="130"/>
      <c r="J9" s="133"/>
    </row>
    <row r="10" spans="2:10" s="220" customFormat="1" ht="15" customHeight="1" thickBot="1">
      <c r="B10" s="216">
        <f>IF(Plan!F9="","",Plan!F9)</f>
      </c>
      <c r="C10" s="202">
        <f>IF(Plan!G9="","",Plan!G9)</f>
      </c>
      <c r="D10" s="218">
        <f>IF(Plan!H9="","",Plan!H9)</f>
      </c>
      <c r="E10" s="241">
        <f>IF(B10="","",-PMT(D10,F10,C10)/C10)</f>
      </c>
      <c r="F10" s="217">
        <f>IF(B10="","",IF(Plan!D5="","",Plan!D5))</f>
      </c>
      <c r="G10" s="202"/>
      <c r="I10" s="130"/>
      <c r="J10" s="133"/>
    </row>
    <row r="11" spans="2:10" s="220" customFormat="1" ht="15" customHeight="1" thickBot="1">
      <c r="B11" s="200" t="s">
        <v>215</v>
      </c>
      <c r="C11" s="200"/>
      <c r="D11" s="200"/>
      <c r="E11" s="200"/>
      <c r="F11" s="200"/>
      <c r="G11" s="700"/>
      <c r="I11" s="130"/>
      <c r="J11" s="133"/>
    </row>
    <row r="12" spans="9:10" s="220" customFormat="1" ht="9.75" customHeight="1">
      <c r="I12" s="130"/>
      <c r="J12" s="133"/>
    </row>
    <row r="13" spans="2:10" s="220" customFormat="1" ht="19.5" customHeight="1">
      <c r="B13" s="194" t="s">
        <v>216</v>
      </c>
      <c r="C13" s="194"/>
      <c r="D13" s="242" t="str">
        <f>IF(C20="","","Gesamt-DB")</f>
        <v>Gesamt-DB</v>
      </c>
      <c r="E13" s="242">
        <f>IF(C21="","","LW Einkommen")</f>
      </c>
      <c r="F13" s="242">
        <f>IF(C22="","","Ges.-Einkommen")</f>
      </c>
      <c r="I13" s="130"/>
      <c r="J13" s="133"/>
    </row>
    <row r="14" spans="2:12" s="220" customFormat="1" ht="15" customHeight="1">
      <c r="B14" s="243" t="str">
        <f>"  "&amp;IF($C$20&lt;&gt;"",$D$13,IF($C$21&lt;&gt;"",$E$13,IF($C$22&lt;&gt;"",$F$13,"")))&amp;" bei PLAN-Variante"</f>
        <v>  Gesamt-DB bei PLAN-Variante</v>
      </c>
      <c r="C14" s="244"/>
      <c r="D14" s="245">
        <f>IF(Plan!E52="","noch leer",Plan!E52)</f>
        <v>0</v>
      </c>
      <c r="E14" s="245"/>
      <c r="F14" s="245"/>
      <c r="I14" s="130"/>
      <c r="J14" s="133"/>
      <c r="K14" s="245" t="str">
        <f>IF(Plan!E57="","noch leer",Plan!E57)</f>
        <v>noch leer</v>
      </c>
      <c r="L14" s="245" t="str">
        <f>IF(Plan!E61="","noch leer",Plan!E61)</f>
        <v>noch leer</v>
      </c>
    </row>
    <row r="15" spans="2:12" s="220" customFormat="1" ht="15" customHeight="1" thickBot="1">
      <c r="B15" s="243" t="str">
        <f>"- "&amp;IF($C$20&lt;&gt;"",$D$13,IF($C$21&lt;&gt;"",$E$13,IF($C$22&lt;&gt;"",$F$13,"")))&amp;" bei IST-Organistation"</f>
        <v>- Gesamt-DB bei IST-Organistation</v>
      </c>
      <c r="C15" s="244"/>
      <c r="D15" s="246">
        <f>IF(Ist!E37="","noch leer",Ist!E37)</f>
        <v>0</v>
      </c>
      <c r="E15" s="246"/>
      <c r="F15" s="246"/>
      <c r="I15" s="130"/>
      <c r="J15" s="133"/>
      <c r="K15" s="246" t="str">
        <f>IF(Ist!E39="","noch leer",Ist!E39)</f>
        <v>noch leer</v>
      </c>
      <c r="L15" s="246" t="str">
        <f>IF(Ist!E43="","noch leer",Ist!E43)</f>
        <v>noch leer</v>
      </c>
    </row>
    <row r="16" spans="2:12" s="220" customFormat="1" ht="15" customHeight="1" thickBot="1">
      <c r="B16" s="247" t="s">
        <v>217</v>
      </c>
      <c r="C16" s="200"/>
      <c r="D16" s="701"/>
      <c r="E16" s="245"/>
      <c r="F16" s="245"/>
      <c r="I16" s="130"/>
      <c r="J16" s="133"/>
      <c r="K16" s="248"/>
      <c r="L16" s="248"/>
    </row>
    <row r="17" spans="9:10" s="220" customFormat="1" ht="9.75" customHeight="1">
      <c r="I17" s="130"/>
      <c r="J17" s="133"/>
    </row>
    <row r="18" spans="2:10" s="220" customFormat="1" ht="15" customHeight="1">
      <c r="B18" s="194" t="s">
        <v>218</v>
      </c>
      <c r="C18" s="249"/>
      <c r="D18" s="249"/>
      <c r="E18" s="249"/>
      <c r="F18" s="249"/>
      <c r="I18" s="130"/>
      <c r="J18" s="133"/>
    </row>
    <row r="19" spans="2:10" s="220" customFormat="1" ht="15" customHeight="1" thickBot="1">
      <c r="B19" s="194" t="s">
        <v>219</v>
      </c>
      <c r="C19" s="194"/>
      <c r="D19" s="194" t="s">
        <v>220</v>
      </c>
      <c r="E19" s="249"/>
      <c r="F19" s="249"/>
      <c r="I19" s="130"/>
      <c r="J19" s="133"/>
    </row>
    <row r="20" spans="2:10" s="250" customFormat="1" ht="11.25" hidden="1">
      <c r="B20" s="251" t="s">
        <v>221</v>
      </c>
      <c r="C20" s="252" t="str">
        <f>IF('[2]E-Fin'!C20="","",'[2]E-Fin'!C20)</f>
        <v>ü</v>
      </c>
      <c r="D20" s="253"/>
      <c r="E20" s="253"/>
      <c r="F20" s="253"/>
      <c r="G20" s="254"/>
      <c r="I20" s="130"/>
      <c r="J20" s="133"/>
    </row>
    <row r="21" spans="2:10" s="250" customFormat="1" ht="11.25" hidden="1">
      <c r="B21" s="251" t="s">
        <v>222</v>
      </c>
      <c r="C21" s="252">
        <f>IF('[2]E-Fin'!C21="","",'[2]E-Fin'!C21)</f>
      </c>
      <c r="D21" s="253"/>
      <c r="E21" s="253"/>
      <c r="F21" s="253"/>
      <c r="G21" s="254"/>
      <c r="I21" s="130"/>
      <c r="J21" s="133"/>
    </row>
    <row r="22" spans="2:10" s="250" customFormat="1" ht="12" hidden="1" thickBot="1">
      <c r="B22" s="251" t="s">
        <v>173</v>
      </c>
      <c r="C22" s="252">
        <f>IF('[2]E-Fin'!C22="","",'[2]E-Fin'!C22)</f>
      </c>
      <c r="D22" s="253"/>
      <c r="E22" s="253"/>
      <c r="F22" s="253"/>
      <c r="I22" s="140"/>
      <c r="J22" s="133"/>
    </row>
    <row r="23" spans="2:10" s="220" customFormat="1" ht="15" customHeight="1" thickBot="1">
      <c r="B23" s="202">
        <f>IF(C20="ü",IF(D16="","",D16),IF(C21="ü",IF(K16="","",K16),IF(C22="ü",IF(L16="","",L16),"")))</f>
      </c>
      <c r="C23" s="255" t="s">
        <v>223</v>
      </c>
      <c r="D23" s="256">
        <f>IF(G11="","",-G11)</f>
      </c>
      <c r="E23" s="255" t="s">
        <v>224</v>
      </c>
      <c r="F23" s="702"/>
      <c r="I23" s="130"/>
      <c r="J23" s="133"/>
    </row>
    <row r="24" spans="2:10" s="220" customFormat="1" ht="15" customHeight="1" thickBot="1">
      <c r="B24" s="257" t="s">
        <v>225</v>
      </c>
      <c r="C24" s="257"/>
      <c r="D24" s="257"/>
      <c r="E24" s="258" t="s">
        <v>226</v>
      </c>
      <c r="F24" s="258" t="s">
        <v>227</v>
      </c>
      <c r="I24" s="130"/>
      <c r="J24" s="133"/>
    </row>
    <row r="25" spans="2:10" s="220" customFormat="1" ht="15" customHeight="1" thickBot="1">
      <c r="B25" s="259"/>
      <c r="C25" s="197"/>
      <c r="D25" s="260" t="s">
        <v>228</v>
      </c>
      <c r="E25" s="703"/>
      <c r="F25" s="703"/>
      <c r="I25" s="130"/>
      <c r="J25" s="133"/>
    </row>
    <row r="26" spans="9:10" s="220" customFormat="1" ht="34.5" customHeight="1">
      <c r="I26" s="130"/>
      <c r="J26" s="133"/>
    </row>
    <row r="27" spans="1:10" s="220" customFormat="1" ht="24.75" customHeight="1">
      <c r="A27" s="179"/>
      <c r="B27" s="180" t="s">
        <v>229</v>
      </c>
      <c r="C27" s="180"/>
      <c r="D27" s="180"/>
      <c r="E27" s="180"/>
      <c r="F27" s="180"/>
      <c r="G27" s="180"/>
      <c r="H27" s="180"/>
      <c r="I27" s="130"/>
      <c r="J27" s="133"/>
    </row>
    <row r="28" spans="1:10" s="220" customFormat="1" ht="12" customHeight="1">
      <c r="A28" s="179"/>
      <c r="B28" s="261" t="s">
        <v>230</v>
      </c>
      <c r="C28" s="179"/>
      <c r="D28" s="179"/>
      <c r="E28" s="179"/>
      <c r="F28" s="179"/>
      <c r="G28" s="179"/>
      <c r="H28" s="179"/>
      <c r="I28" s="130"/>
      <c r="J28" s="133"/>
    </row>
    <row r="29" spans="9:10" s="220" customFormat="1" ht="15" customHeight="1">
      <c r="I29" s="142"/>
      <c r="J29" s="133"/>
    </row>
    <row r="30" spans="2:10" s="220" customFormat="1" ht="19.5" customHeight="1">
      <c r="B30" s="215" t="s">
        <v>231</v>
      </c>
      <c r="C30" s="239" t="s">
        <v>188</v>
      </c>
      <c r="D30" s="239" t="s">
        <v>192</v>
      </c>
      <c r="E30" s="240" t="s">
        <v>212</v>
      </c>
      <c r="F30" s="239" t="s">
        <v>193</v>
      </c>
      <c r="G30" s="239" t="s">
        <v>214</v>
      </c>
      <c r="I30" s="142"/>
      <c r="J30" s="133"/>
    </row>
    <row r="31" spans="2:10" s="220" customFormat="1" ht="15" customHeight="1">
      <c r="B31" s="216" t="str">
        <f>IF(Plan!F6="","",Plan!F6)</f>
        <v>AIK-Kredit</v>
      </c>
      <c r="C31" s="202">
        <f>IF(Plan!G6="","",Plan!G6)</f>
        <v>12000</v>
      </c>
      <c r="D31" s="218">
        <f>IF(Plan!H6="","",Plan!H6)</f>
        <v>0.025</v>
      </c>
      <c r="E31" s="241">
        <f>IF(B31="","",-PMT(D31,F31,C31)/C31)</f>
        <v>0.06676061512933523</v>
      </c>
      <c r="F31" s="217">
        <f>IF(Plan!I6="","",Plan!I6)</f>
        <v>19</v>
      </c>
      <c r="G31" s="202">
        <f>PMT(D31,F31,C31)</f>
        <v>-801.1273815520228</v>
      </c>
      <c r="I31" s="142"/>
      <c r="J31" s="133"/>
    </row>
    <row r="32" spans="2:10" s="220" customFormat="1" ht="15" customHeight="1">
      <c r="B32" s="216">
        <f>IF(Plan!F7="","",Plan!F7)</f>
      </c>
      <c r="C32" s="202">
        <f>IF(Plan!G7="","",Plan!G7)</f>
      </c>
      <c r="D32" s="218">
        <f>IF(Plan!H7="","",Plan!H7)</f>
      </c>
      <c r="E32" s="241">
        <f>IF(B32="","",-PMT(D32,F32,C32)/C32)</f>
      </c>
      <c r="F32" s="217">
        <f>IF(Plan!I7="","",Plan!I7)</f>
      </c>
      <c r="G32" s="202"/>
      <c r="I32" s="130"/>
      <c r="J32" s="133"/>
    </row>
    <row r="33" spans="2:10" s="220" customFormat="1" ht="15" customHeight="1">
      <c r="B33" s="216">
        <f>IF(Plan!F8="","",Plan!F8)</f>
      </c>
      <c r="C33" s="202">
        <f>IF(Plan!G8="","",Plan!G8)</f>
      </c>
      <c r="D33" s="218">
        <f>IF(Plan!H8="","",Plan!H8)</f>
      </c>
      <c r="E33" s="241">
        <f>IF(B33="","",-PMT(D33,F33,C33)/C33)</f>
      </c>
      <c r="F33" s="217">
        <f>IF(Plan!I8="","",Plan!I8)</f>
      </c>
      <c r="G33" s="202"/>
      <c r="I33" s="130"/>
      <c r="J33" s="133"/>
    </row>
    <row r="34" spans="2:10" s="220" customFormat="1" ht="15" customHeight="1">
      <c r="B34" s="216">
        <f>IF(Plan!F9="","",Plan!F9)</f>
      </c>
      <c r="C34" s="202">
        <f>IF(Plan!G9="","",Plan!G9)</f>
      </c>
      <c r="D34" s="218">
        <f>IF(Plan!H9="","",Plan!H9)</f>
      </c>
      <c r="E34" s="241">
        <f>IF(B34="","",-PMT(D34,F34,C34)/C34)</f>
      </c>
      <c r="F34" s="217">
        <f>IF(Plan!I9="","",Plan!I9)</f>
      </c>
      <c r="G34" s="202"/>
      <c r="I34" s="130"/>
      <c r="J34" s="133"/>
    </row>
    <row r="35" spans="2:10" s="220" customFormat="1" ht="15" customHeight="1">
      <c r="B35" s="262" t="s">
        <v>232</v>
      </c>
      <c r="C35" s="262"/>
      <c r="D35" s="262"/>
      <c r="E35" s="262"/>
      <c r="F35" s="262"/>
      <c r="G35" s="915">
        <f>SUM(G31:G34)</f>
        <v>-801.1273815520228</v>
      </c>
      <c r="I35" s="130"/>
      <c r="J35" s="133"/>
    </row>
    <row r="36" spans="9:10" s="220" customFormat="1" ht="34.5" customHeight="1">
      <c r="I36" s="130"/>
      <c r="J36" s="133"/>
    </row>
    <row r="37" spans="1:10" s="220" customFormat="1" ht="24.75" customHeight="1">
      <c r="A37" s="179"/>
      <c r="B37" s="180" t="s">
        <v>233</v>
      </c>
      <c r="C37" s="180"/>
      <c r="D37" s="180"/>
      <c r="E37" s="180"/>
      <c r="F37" s="180"/>
      <c r="G37" s="180"/>
      <c r="H37" s="180"/>
      <c r="I37" s="130"/>
      <c r="J37" s="133"/>
    </row>
    <row r="38" spans="9:10" s="220" customFormat="1" ht="15" customHeight="1">
      <c r="I38" s="130"/>
      <c r="J38" s="133"/>
    </row>
    <row r="39" spans="2:10" s="220" customFormat="1" ht="19.5" customHeight="1">
      <c r="B39" s="1056" t="str">
        <f>B30</f>
        <v>Fremdkapitalart</v>
      </c>
      <c r="C39" s="1056"/>
      <c r="D39" s="1056"/>
      <c r="E39" s="263" t="s">
        <v>234</v>
      </c>
      <c r="F39" s="264" t="s">
        <v>235</v>
      </c>
      <c r="G39" s="264" t="s">
        <v>236</v>
      </c>
      <c r="I39" s="130"/>
      <c r="J39" s="133"/>
    </row>
    <row r="40" spans="2:10" s="220" customFormat="1" ht="15" customHeight="1">
      <c r="B40" s="183" t="str">
        <f>IF(B31="","",B31)</f>
        <v>AIK-Kredit</v>
      </c>
      <c r="C40" s="183"/>
      <c r="D40" s="183"/>
      <c r="E40" s="185">
        <f>IF(AND(B31="",B32="",B33="",B34=""),"kein Kapitaldienst",IF(B31="","",IF(G31="","noch leer",G31)))</f>
        <v>-801.1273815520228</v>
      </c>
      <c r="F40" s="202">
        <f>C31/F31</f>
        <v>631.578947368421</v>
      </c>
      <c r="G40" s="202">
        <f>SUM(E40:F40)</f>
        <v>-169.54843418360178</v>
      </c>
      <c r="I40" s="130"/>
      <c r="J40" s="133"/>
    </row>
    <row r="41" spans="2:10" s="220" customFormat="1" ht="15" customHeight="1">
      <c r="B41" s="183">
        <f>IF(B32="","",B32)</f>
      </c>
      <c r="C41" s="183"/>
      <c r="D41" s="183"/>
      <c r="E41" s="185">
        <f>IF(AND(B31="",B32="",B33="",B34=""),"kein Kapitaldienst",IF(B32="","",IF(G32="","noch leer",G32)))</f>
      </c>
      <c r="F41" s="202"/>
      <c r="G41" s="202"/>
      <c r="I41" s="130"/>
      <c r="J41" s="133"/>
    </row>
    <row r="42" spans="2:10" s="220" customFormat="1" ht="15" customHeight="1">
      <c r="B42" s="183">
        <f>IF(B33="","",B33)</f>
      </c>
      <c r="C42" s="183"/>
      <c r="D42" s="183"/>
      <c r="E42" s="185">
        <f>IF(AND(B31="",B32="",B33="",B34=""),"kein Kapitaldienst",IF(B33="","",IF(G33="","noch leer",G33)))</f>
      </c>
      <c r="F42" s="202"/>
      <c r="G42" s="202"/>
      <c r="I42" s="130"/>
      <c r="J42" s="133"/>
    </row>
    <row r="43" spans="2:10" s="220" customFormat="1" ht="15" customHeight="1">
      <c r="B43" s="183">
        <f>IF(B34="","",B34)</f>
      </c>
      <c r="C43" s="183"/>
      <c r="D43" s="183"/>
      <c r="E43" s="185">
        <f>IF(AND(B31="",B32="",B33="",B34=""),"kein Kapitaldienst",IF(B34="","",IF(G34="","noch leer",G34)))</f>
      </c>
      <c r="F43" s="202"/>
      <c r="G43" s="202"/>
      <c r="I43" s="130"/>
      <c r="J43" s="133"/>
    </row>
    <row r="44" spans="2:10" s="220" customFormat="1" ht="15" customHeight="1">
      <c r="B44" s="262" t="s">
        <v>237</v>
      </c>
      <c r="C44" s="262"/>
      <c r="D44" s="262"/>
      <c r="E44" s="916">
        <f>IF(AND(E40="noch leer",E41="noch leer",E42="noch leer",E43="noch leer")=0,"noch leer",SUM(E40:E43))</f>
        <v>-801.1273815520228</v>
      </c>
      <c r="F44" s="916">
        <f>IF(AND(F40="noch leer",F41="noch leer",F42="noch leer",F43="noch leer")=0,"noch leer",SUM(F40:F43))</f>
        <v>631.578947368421</v>
      </c>
      <c r="G44" s="909">
        <f>IF(AND(G40="noch leer",G41="noch leer",G42="noch leer",G43="noch leer")=0,"noch leer",SUM(G40:G43))</f>
        <v>-169.54843418360178</v>
      </c>
      <c r="I44" s="130"/>
      <c r="J44" s="133"/>
    </row>
    <row r="45" spans="9:10" s="220" customFormat="1" ht="15" customHeight="1">
      <c r="I45" s="130"/>
      <c r="J45" s="133"/>
    </row>
    <row r="46" spans="2:10" s="220" customFormat="1" ht="30" customHeight="1">
      <c r="B46" s="1053" t="s">
        <v>238</v>
      </c>
      <c r="C46" s="1053"/>
      <c r="D46" s="1053"/>
      <c r="E46" s="1053"/>
      <c r="F46" s="1054">
        <f>IF(G44="","noch leer",G44)</f>
        <v>-169.54843418360178</v>
      </c>
      <c r="G46" s="1055"/>
      <c r="I46" s="130"/>
      <c r="J46" s="133"/>
    </row>
    <row r="47" spans="9:10" s="220" customFormat="1" ht="15" customHeight="1">
      <c r="I47" s="130"/>
      <c r="J47" s="133"/>
    </row>
    <row r="48" spans="9:10" ht="11.25" hidden="1">
      <c r="I48" s="233"/>
      <c r="J48" s="233"/>
    </row>
    <row r="49" spans="9:10" ht="11.25" hidden="1">
      <c r="I49" s="233"/>
      <c r="J49" s="233"/>
    </row>
    <row r="50" spans="9:10" ht="11.25" hidden="1">
      <c r="I50" s="233"/>
      <c r="J50" s="233"/>
    </row>
    <row r="51" spans="9:10" ht="11.25" hidden="1">
      <c r="I51" s="233"/>
      <c r="J51" s="233"/>
    </row>
    <row r="52" spans="9:10" ht="11.25" hidden="1">
      <c r="I52" s="233"/>
      <c r="J52" s="233"/>
    </row>
    <row r="53" spans="9:10" ht="11.25" hidden="1">
      <c r="I53" s="233"/>
      <c r="J53" s="233"/>
    </row>
    <row r="54" spans="9:10" ht="11.25" hidden="1">
      <c r="I54" s="233"/>
      <c r="J54" s="233"/>
    </row>
    <row r="55" spans="9:10" ht="11.25" hidden="1">
      <c r="I55" s="233"/>
      <c r="J55" s="233"/>
    </row>
    <row r="56" spans="9:10" ht="11.25" hidden="1">
      <c r="I56" s="233"/>
      <c r="J56" s="233"/>
    </row>
    <row r="57" spans="9:10" ht="0" customHeight="1" hidden="1">
      <c r="I57" s="130"/>
      <c r="J57" s="220"/>
    </row>
    <row r="58" spans="9:10" ht="0" customHeight="1" hidden="1">
      <c r="I58" s="130"/>
      <c r="J58" s="220"/>
    </row>
    <row r="59" spans="9:10" ht="0" customHeight="1" hidden="1">
      <c r="I59" s="130"/>
      <c r="J59" s="220"/>
    </row>
    <row r="60" spans="9:10" ht="0" customHeight="1" hidden="1">
      <c r="I60" s="130"/>
      <c r="J60" s="220"/>
    </row>
    <row r="61" spans="9:10" ht="0" customHeight="1" hidden="1">
      <c r="I61" s="130"/>
      <c r="J61" s="220"/>
    </row>
    <row r="62" spans="9:10" ht="0" customHeight="1" hidden="1">
      <c r="I62" s="130"/>
      <c r="J62" s="220"/>
    </row>
    <row r="63" ht="0" customHeight="1" hidden="1"/>
    <row r="64" ht="0" customHeight="1" hidden="1"/>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row r="74" ht="0" customHeight="1" hidden="1"/>
    <row r="75" ht="0" customHeight="1" hidden="1"/>
    <row r="76" ht="0" customHeight="1" hidden="1"/>
    <row r="77" ht="0" customHeight="1" hidden="1"/>
    <row r="78" ht="0" customHeight="1" hidden="1"/>
    <row r="79" ht="0" customHeight="1" hidden="1"/>
    <row r="80" ht="0" customHeight="1" hidden="1"/>
    <row r="81" ht="0" customHeight="1" hidden="1"/>
    <row r="82" ht="0" customHeight="1" hidden="1"/>
    <row r="83" ht="0" customHeight="1" hidden="1"/>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row r="102" ht="0" customHeight="1" hidden="1"/>
    <row r="103" ht="0" customHeight="1" hidden="1"/>
    <row r="104" ht="0" customHeight="1" hidden="1"/>
    <row r="105" ht="0" customHeight="1" hidden="1"/>
    <row r="106" ht="0" customHeight="1" hidden="1"/>
    <row r="107" ht="0" customHeight="1" hidden="1"/>
    <row r="108" ht="0" customHeight="1" hidden="1"/>
    <row r="109" ht="0" customHeight="1" hidden="1"/>
    <row r="110" ht="0" customHeight="1" hidden="1"/>
    <row r="111" ht="0" customHeight="1" hidden="1"/>
    <row r="112" ht="0" customHeight="1" hidden="1"/>
    <row r="113" ht="0" customHeight="1" hidden="1"/>
    <row r="114" ht="0" customHeight="1" hidden="1"/>
    <row r="115" ht="0" customHeight="1" hidden="1"/>
    <row r="116" ht="0" customHeight="1" hidden="1"/>
    <row r="117" ht="0" customHeight="1" hidden="1"/>
    <row r="118" ht="0" customHeight="1" hidden="1"/>
    <row r="119" ht="0" customHeight="1" hidden="1"/>
    <row r="120" ht="0" customHeight="1" hidden="1"/>
    <row r="121" ht="0" customHeight="1" hidden="1"/>
    <row r="122" ht="0" customHeight="1" hidden="1"/>
    <row r="123" ht="0" customHeight="1" hidden="1"/>
    <row r="124" ht="0" customHeight="1" hidden="1"/>
    <row r="125" ht="0" customHeight="1" hidden="1"/>
    <row r="126" ht="0" customHeight="1" hidden="1"/>
    <row r="127" ht="0" customHeight="1" hidden="1"/>
    <row r="128" ht="0" customHeight="1" hidden="1"/>
    <row r="129" ht="0" customHeight="1" hidden="1"/>
    <row r="130" ht="0" customHeight="1" hidden="1"/>
    <row r="131" ht="0" customHeight="1" hidden="1"/>
    <row r="132" ht="0" customHeight="1" hidden="1"/>
    <row r="133" ht="0" customHeight="1" hidden="1"/>
    <row r="134" ht="0" customHeight="1" hidden="1"/>
    <row r="135" ht="0" customHeight="1" hidden="1"/>
    <row r="136" ht="0" customHeight="1" hidden="1"/>
    <row r="137" ht="0" customHeight="1" hidden="1"/>
    <row r="138" ht="0" customHeight="1" hidden="1"/>
    <row r="139" ht="0" customHeight="1" hidden="1"/>
    <row r="140" ht="0" customHeight="1" hidden="1"/>
    <row r="141" ht="0" customHeight="1" hidden="1"/>
    <row r="142" ht="0" customHeight="1" hidden="1"/>
    <row r="143" ht="0" customHeight="1" hidden="1"/>
    <row r="144" ht="0" customHeight="1" hidden="1"/>
    <row r="145" ht="0" customHeight="1" hidden="1"/>
    <row r="146" ht="0" customHeight="1" hidden="1"/>
    <row r="147" ht="0" customHeight="1" hidden="1"/>
    <row r="148" ht="0" customHeight="1" hidden="1"/>
    <row r="149" ht="0" customHeight="1" hidden="1"/>
    <row r="150" ht="0" customHeight="1" hidden="1"/>
    <row r="151" ht="0" customHeight="1" hidden="1"/>
    <row r="152" ht="0" customHeight="1" hidden="1"/>
    <row r="153" ht="0" customHeight="1" hidden="1"/>
    <row r="154" ht="0" customHeight="1" hidden="1"/>
    <row r="155" ht="0" customHeight="1" hidden="1"/>
    <row r="156" ht="0" customHeight="1" hidden="1"/>
    <row r="157" ht="0" customHeight="1" hidden="1"/>
    <row r="158" ht="0"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row r="170" ht="0" customHeight="1" hidden="1"/>
    <row r="171" ht="0" customHeight="1" hidden="1"/>
    <row r="172" ht="0" customHeight="1" hidden="1"/>
    <row r="173" ht="0" customHeight="1" hidden="1"/>
    <row r="174" ht="0" customHeight="1" hidden="1"/>
    <row r="175" ht="0" customHeight="1" hidden="1"/>
    <row r="176" ht="0" customHeight="1" hidden="1"/>
    <row r="177" ht="0" customHeight="1" hidden="1"/>
    <row r="178" ht="0" customHeight="1" hidden="1"/>
    <row r="179" ht="0" customHeight="1" hidden="1"/>
    <row r="180" ht="0" customHeight="1" hidden="1"/>
    <row r="181" ht="0" customHeight="1" hidden="1"/>
    <row r="182" ht="0" customHeight="1" hidden="1"/>
    <row r="183" ht="0" customHeight="1" hidden="1"/>
    <row r="184" ht="0" customHeight="1" hidden="1"/>
    <row r="185" ht="0" customHeight="1" hidden="1"/>
    <row r="186" ht="0" customHeight="1" hidden="1"/>
    <row r="187" ht="0" customHeight="1" hidden="1"/>
    <row r="188" ht="0" customHeight="1" hidden="1"/>
    <row r="189" ht="0" customHeight="1" hidden="1"/>
    <row r="190" ht="0" customHeight="1" hidden="1"/>
    <row r="191" ht="0" customHeight="1" hidden="1"/>
    <row r="192" ht="0" customHeight="1" hidden="1"/>
    <row r="193" ht="0" customHeight="1" hidden="1"/>
    <row r="194" ht="0" customHeight="1" hidden="1"/>
    <row r="195" ht="0" customHeight="1" hidden="1"/>
    <row r="196" ht="0" customHeight="1" hidden="1"/>
    <row r="197" ht="0" customHeight="1" hidden="1"/>
    <row r="198" ht="0" customHeight="1" hidden="1"/>
    <row r="199" ht="0" customHeight="1" hidden="1"/>
  </sheetData>
  <sheetProtection sheet="1" objects="1" scenarios="1"/>
  <mergeCells count="5">
    <mergeCell ref="A1:A2"/>
    <mergeCell ref="J1:J4"/>
    <mergeCell ref="B46:E46"/>
    <mergeCell ref="F46:G46"/>
    <mergeCell ref="B39:D39"/>
  </mergeCells>
  <conditionalFormatting sqref="C6:F7 C31:F31">
    <cfRule type="expression" priority="1" dxfId="52" stopIfTrue="1">
      <formula>$B6=""</formula>
    </cfRule>
  </conditionalFormatting>
  <conditionalFormatting sqref="B23 D23 F46:G46">
    <cfRule type="cellIs" priority="2" dxfId="1" operator="equal" stopIfTrue="1">
      <formula>"noch leer"</formula>
    </cfRule>
  </conditionalFormatting>
  <conditionalFormatting sqref="G31 G6:G7 F40:G40">
    <cfRule type="expression" priority="3" dxfId="23" stopIfTrue="1">
      <formula>$B6=""</formula>
    </cfRule>
  </conditionalFormatting>
  <conditionalFormatting sqref="E40">
    <cfRule type="expression" priority="4" dxfId="23" stopIfTrue="1">
      <formula>$B40=""</formula>
    </cfRule>
    <cfRule type="cellIs" priority="5" dxfId="1" operator="equal" stopIfTrue="1">
      <formula>"noch leer"</formula>
    </cfRule>
  </conditionalFormatting>
  <conditionalFormatting sqref="D13">
    <cfRule type="expression" priority="6" dxfId="130" stopIfTrue="1">
      <formula>$C$20=""</formula>
    </cfRule>
  </conditionalFormatting>
  <conditionalFormatting sqref="E13">
    <cfRule type="expression" priority="7" dxfId="130" stopIfTrue="1">
      <formula>$C$21=""</formula>
    </cfRule>
  </conditionalFormatting>
  <conditionalFormatting sqref="F13">
    <cfRule type="expression" priority="8" dxfId="130" stopIfTrue="1">
      <formula>$C$22=""</formula>
    </cfRule>
  </conditionalFormatting>
  <conditionalFormatting sqref="D14:D15">
    <cfRule type="expression" priority="9" dxfId="87" stopIfTrue="1">
      <formula>$C$20=""</formula>
    </cfRule>
    <cfRule type="cellIs" priority="10" dxfId="1" operator="equal" stopIfTrue="1">
      <formula>"noch leer"</formula>
    </cfRule>
  </conditionalFormatting>
  <conditionalFormatting sqref="D16">
    <cfRule type="expression" priority="11" dxfId="127" stopIfTrue="1">
      <formula>$C$20=""</formula>
    </cfRule>
    <cfRule type="cellIs" priority="12" dxfId="1" operator="equal" stopIfTrue="1">
      <formula>"noch leer"</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L62"/>
  <sheetViews>
    <sheetView showGridLines="0" zoomScalePageLayoutView="0" workbookViewId="0" topLeftCell="A1">
      <pane ySplit="2" topLeftCell="A3" activePane="bottomLeft" state="frozen"/>
      <selection pane="topLeft" activeCell="E12" sqref="E12:M18"/>
      <selection pane="bottomLeft" activeCell="E5" sqref="E5"/>
    </sheetView>
  </sheetViews>
  <sheetFormatPr defaultColWidth="0" defaultRowHeight="11.25" customHeight="1" zeroHeight="1"/>
  <cols>
    <col min="1" max="1" width="2.7109375" style="178" customWidth="1"/>
    <col min="2" max="2" width="18.7109375" style="178" customWidth="1"/>
    <col min="3" max="3" width="7.7109375" style="178" customWidth="1"/>
    <col min="4" max="5" width="8.7109375" style="178" customWidth="1"/>
    <col min="6" max="6" width="12.7109375" style="178" customWidth="1"/>
    <col min="7" max="9" width="9.7109375" style="178" customWidth="1"/>
    <col min="10" max="10" width="2.7109375" style="178" customWidth="1"/>
    <col min="11" max="11" width="0.85546875" style="178" customWidth="1"/>
    <col min="12" max="12" width="18.7109375" style="178" customWidth="1"/>
    <col min="13" max="16384" width="11.421875" style="1" hidden="1" customWidth="1"/>
  </cols>
  <sheetData>
    <row r="1" spans="1:12" ht="24.75" customHeight="1">
      <c r="A1" s="179"/>
      <c r="B1" s="180" t="s">
        <v>185</v>
      </c>
      <c r="C1" s="180"/>
      <c r="D1" s="180"/>
      <c r="E1" s="180"/>
      <c r="F1" s="180"/>
      <c r="G1" s="180"/>
      <c r="H1" s="180"/>
      <c r="I1" s="180"/>
      <c r="J1" s="180"/>
      <c r="K1" s="129"/>
      <c r="L1" s="1043" t="s">
        <v>520</v>
      </c>
    </row>
    <row r="2" spans="11:12" ht="19.5" customHeight="1">
      <c r="K2" s="130"/>
      <c r="L2" s="1044"/>
    </row>
    <row r="3" spans="2:12" ht="12" customHeight="1">
      <c r="B3" s="215" t="s">
        <v>186</v>
      </c>
      <c r="C3" s="215"/>
      <c r="D3" s="215"/>
      <c r="E3" s="215"/>
      <c r="F3" s="215"/>
      <c r="G3" s="215"/>
      <c r="H3" s="215"/>
      <c r="I3" s="215"/>
      <c r="K3" s="130"/>
      <c r="L3" s="133"/>
    </row>
    <row r="4" spans="2:12" ht="12" customHeight="1" thickBot="1">
      <c r="B4" s="215" t="s">
        <v>187</v>
      </c>
      <c r="C4" s="195" t="s">
        <v>188</v>
      </c>
      <c r="D4" s="195" t="s">
        <v>189</v>
      </c>
      <c r="E4" s="195" t="s">
        <v>190</v>
      </c>
      <c r="F4" s="195" t="s">
        <v>191</v>
      </c>
      <c r="G4" s="195" t="s">
        <v>188</v>
      </c>
      <c r="H4" s="195" t="s">
        <v>192</v>
      </c>
      <c r="I4" s="195" t="s">
        <v>193</v>
      </c>
      <c r="K4" s="130"/>
      <c r="L4" s="133"/>
    </row>
    <row r="5" spans="2:12" ht="12" customHeight="1" thickBot="1">
      <c r="B5" s="216" t="str">
        <f>IF('[2]Plan'!D15="","",'[2]Plan'!D15)</f>
        <v>Stallbau: Errichtungskosten</v>
      </c>
      <c r="C5" s="202">
        <f>IF('[2]Plan'!G15="","",'[2]Plan'!G15)</f>
        <v>38500</v>
      </c>
      <c r="D5" s="217">
        <f>IF('[2]Plan'!I15="","",'[2]Plan'!I15)</f>
        <v>30</v>
      </c>
      <c r="E5" s="186"/>
      <c r="F5" s="216" t="str">
        <f>IF('[2]Plan'!M15="","",'[2]Plan'!M15)</f>
        <v>Eigenkapital</v>
      </c>
      <c r="G5" s="202">
        <f>IF('[2]Plan'!P15="","",'[2]Plan'!P15)</f>
        <v>44650</v>
      </c>
      <c r="H5" s="218">
        <f>IF('[2]Plan'!R15="","",'[2]Plan'!R15)</f>
        <v>0.03</v>
      </c>
      <c r="I5" s="219">
        <f>IF('[2]Plan'!T15="","",'[2]Plan'!T15)</f>
        <v>30</v>
      </c>
      <c r="K5" s="130"/>
      <c r="L5" s="133"/>
    </row>
    <row r="6" spans="2:12" ht="12" customHeight="1" thickBot="1">
      <c r="B6" s="216" t="str">
        <f>IF('[2]Plan'!D17="","",'[2]Plan'!D17)</f>
        <v>Ausstattung</v>
      </c>
      <c r="C6" s="202">
        <f>IF('[2]Plan'!G17="","",'[2]Plan'!G17)</f>
        <v>6000</v>
      </c>
      <c r="D6" s="217">
        <f>IF('[2]Plan'!I17="","",'[2]Plan'!I17)</f>
        <v>30</v>
      </c>
      <c r="E6" s="186"/>
      <c r="F6" s="216" t="str">
        <f>IF('[2]Plan'!M17="","",'[2]Plan'!M17)</f>
        <v>AIK-Kredit</v>
      </c>
      <c r="G6" s="202">
        <f>IF('[2]Plan'!P17="","",'[2]Plan'!P17)</f>
        <v>12000</v>
      </c>
      <c r="H6" s="218">
        <f>IF('[2]Plan'!R17="","",'[2]Plan'!R17)</f>
        <v>0.025</v>
      </c>
      <c r="I6" s="219">
        <f>IF('[2]Plan'!T17="","",'[2]Plan'!T17)</f>
        <v>19</v>
      </c>
      <c r="K6" s="130"/>
      <c r="L6" s="133"/>
    </row>
    <row r="7" spans="2:12" ht="12" customHeight="1" thickBot="1">
      <c r="B7" s="216" t="str">
        <f>IF('[2]Plan'!D19="","",'[2]Plan'!D19)</f>
        <v>Tierzukauf</v>
      </c>
      <c r="C7" s="202">
        <f>IF('[2]Plan'!G19="","",'[2]Plan'!G19)</f>
        <v>31700</v>
      </c>
      <c r="D7" s="217">
        <f>IF('[2]Plan'!I19="","",'[2]Plan'!I19)</f>
        <v>5</v>
      </c>
      <c r="E7" s="186"/>
      <c r="F7" s="216">
        <f>IF('[2]Plan'!M19="","",'[2]Plan'!M19)</f>
      </c>
      <c r="G7" s="202">
        <f>IF('[2]Plan'!P19="","",'[2]Plan'!P19)</f>
      </c>
      <c r="H7" s="218">
        <f>IF('[2]Plan'!R19="","",'[2]Plan'!R19)</f>
      </c>
      <c r="I7" s="219">
        <f>IF('[2]Plan'!T19="","",'[2]Plan'!T19)</f>
      </c>
      <c r="K7" s="130"/>
      <c r="L7" s="133"/>
    </row>
    <row r="8" spans="2:12" ht="12" customHeight="1">
      <c r="B8" s="216">
        <f>IF('[2]Plan'!D21="","",'[2]Plan'!D21)</f>
      </c>
      <c r="C8" s="202">
        <f>IF('[2]Plan'!G21="","",'[2]Plan'!G21)</f>
      </c>
      <c r="D8" s="217">
        <f>IF('[2]Plan'!I21="","",'[2]Plan'!I21)</f>
      </c>
      <c r="E8" s="202"/>
      <c r="F8" s="216">
        <f>IF('[2]Plan'!M21="","",'[2]Plan'!M21)</f>
      </c>
      <c r="G8" s="202">
        <f>IF('[2]Plan'!P21="","",'[2]Plan'!P21)</f>
      </c>
      <c r="H8" s="218">
        <f>IF('[2]Plan'!R21="","",'[2]Plan'!R21)</f>
      </c>
      <c r="I8" s="219">
        <f>IF('[2]Plan'!T21="","",'[2]Plan'!T21)</f>
      </c>
      <c r="K8" s="130"/>
      <c r="L8" s="133"/>
    </row>
    <row r="9" spans="2:12" ht="12" customHeight="1">
      <c r="B9" s="216">
        <f>IF('[2]Plan'!D23="","",'[2]Plan'!D23)</f>
      </c>
      <c r="C9" s="202">
        <f>IF('[2]Plan'!G23="","",'[2]Plan'!G23)</f>
      </c>
      <c r="D9" s="217">
        <f>IF('[2]Plan'!I23="","",'[2]Plan'!I23)</f>
      </c>
      <c r="E9" s="202"/>
      <c r="F9" s="216">
        <f>IF(SUM(C5:C11)=SUM(G5:G8),"",IF(AND(F7="",F8=""),"Bankdarlehen",IF(OR(F7="",F8=""),"Bankdarlehen 2","Bankdarlehen 3")))</f>
      </c>
      <c r="G9" s="202">
        <f>IF(SUM(C5:C11)-SUM(G5:G8)=0,"",SUM(C5:C11)-SUM(G5:G8))</f>
      </c>
      <c r="H9" s="218">
        <f>IF('[2]Plan'!R23="","",'[2]Plan'!R23)</f>
      </c>
      <c r="I9" s="219">
        <f>IF('[2]Plan'!T23="","",'[2]Plan'!T23)</f>
      </c>
      <c r="K9" s="130"/>
      <c r="L9" s="133"/>
    </row>
    <row r="10" spans="2:12" ht="6" customHeight="1">
      <c r="B10" s="183"/>
      <c r="C10" s="183"/>
      <c r="D10" s="183"/>
      <c r="E10" s="183"/>
      <c r="F10" s="183"/>
      <c r="G10" s="183"/>
      <c r="H10" s="183"/>
      <c r="I10" s="183"/>
      <c r="K10" s="130"/>
      <c r="L10" s="133"/>
    </row>
    <row r="11" spans="2:12" ht="12" customHeight="1" thickBot="1">
      <c r="B11" s="216" t="str">
        <f>IF('[2]Plan'!B25="","",MID('[2]Plan'!B25,1,20))</f>
        <v>Investitionszuschuss</v>
      </c>
      <c r="C11" s="212">
        <f>IF('[2]Plan'!I25="","",-'[2]Plan'!I25)</f>
        <v>-19550</v>
      </c>
      <c r="D11" s="220"/>
      <c r="E11" s="221"/>
      <c r="F11" s="222"/>
      <c r="G11" s="223"/>
      <c r="K11" s="130"/>
      <c r="L11" s="133"/>
    </row>
    <row r="12" spans="2:12" ht="12" customHeight="1" thickBot="1">
      <c r="B12" s="224" t="s">
        <v>194</v>
      </c>
      <c r="C12" s="911">
        <f>SUM(C5:C11)</f>
        <v>56650</v>
      </c>
      <c r="D12" s="225" t="s">
        <v>500</v>
      </c>
      <c r="E12" s="701"/>
      <c r="F12" s="224" t="s">
        <v>195</v>
      </c>
      <c r="G12" s="912">
        <f>SUM(G5:G9)</f>
        <v>56650</v>
      </c>
      <c r="K12" s="130"/>
      <c r="L12" s="133"/>
    </row>
    <row r="13" spans="11:12" ht="16.5" customHeight="1">
      <c r="K13" s="130"/>
      <c r="L13" s="133"/>
    </row>
    <row r="14" spans="2:12" ht="19.5" customHeight="1" hidden="1">
      <c r="B14" s="194" t="str">
        <f>'[2]Plan'!B27</f>
        <v>Rationalisierungsgewinne</v>
      </c>
      <c r="C14" s="194"/>
      <c r="D14" s="194"/>
      <c r="E14" s="194"/>
      <c r="F14" s="194"/>
      <c r="G14" s="194"/>
      <c r="K14" s="130"/>
      <c r="L14" s="133"/>
    </row>
    <row r="15" spans="2:12" ht="12" customHeight="1" hidden="1">
      <c r="B15" s="183" t="s">
        <v>196</v>
      </c>
      <c r="C15" s="183"/>
      <c r="D15" s="226">
        <f>IF('[2]Plan'!G28="","",'[2]Plan'!G28)</f>
        <v>0.4</v>
      </c>
      <c r="E15" s="183" t="s">
        <v>197</v>
      </c>
      <c r="F15" s="183"/>
      <c r="G15" s="226">
        <f>IF('[2]Plan'!P28="","",'[2]Plan'!P28)</f>
        <v>-0.1</v>
      </c>
      <c r="K15" s="130"/>
      <c r="L15" s="133"/>
    </row>
    <row r="16" spans="2:12" ht="12" customHeight="1" hidden="1">
      <c r="B16" s="183" t="s">
        <v>198</v>
      </c>
      <c r="C16" s="183"/>
      <c r="D16" s="226">
        <f>IF('[2]Plan'!G30="","",'[2]Plan'!G30)</f>
        <v>-0.1</v>
      </c>
      <c r="E16" s="183" t="s">
        <v>199</v>
      </c>
      <c r="F16" s="183"/>
      <c r="G16" s="226">
        <f>IF('[2]Plan'!P30="","",'[2]Plan'!P30)</f>
        <v>0</v>
      </c>
      <c r="K16" s="130"/>
      <c r="L16" s="133"/>
    </row>
    <row r="17" spans="11:12" ht="6" customHeight="1" hidden="1">
      <c r="K17" s="130"/>
      <c r="L17" s="133"/>
    </row>
    <row r="18" spans="2:12" ht="12" customHeight="1">
      <c r="B18" s="1058" t="s">
        <v>200</v>
      </c>
      <c r="C18" s="1059" t="s">
        <v>152</v>
      </c>
      <c r="D18" s="1057" t="s">
        <v>617</v>
      </c>
      <c r="E18" s="1057"/>
      <c r="F18" s="1057" t="s">
        <v>154</v>
      </c>
      <c r="G18" s="1057"/>
      <c r="H18" s="1059" t="s">
        <v>201</v>
      </c>
      <c r="I18" s="1060"/>
      <c r="K18" s="130"/>
      <c r="L18" s="133"/>
    </row>
    <row r="19" spans="2:12" ht="12" customHeight="1">
      <c r="B19" s="1058" t="s">
        <v>156</v>
      </c>
      <c r="C19" s="1059" t="s">
        <v>157</v>
      </c>
      <c r="D19" s="1057" t="s">
        <v>158</v>
      </c>
      <c r="E19" s="1057"/>
      <c r="F19" s="1057" t="s">
        <v>159</v>
      </c>
      <c r="G19" s="1057"/>
      <c r="H19" s="1060" t="s">
        <v>160</v>
      </c>
      <c r="I19" s="1060"/>
      <c r="K19" s="130"/>
      <c r="L19" s="133"/>
    </row>
    <row r="20" spans="2:12" ht="12" customHeight="1" thickBot="1">
      <c r="B20" s="1058"/>
      <c r="C20" s="1059"/>
      <c r="D20" s="182" t="s">
        <v>161</v>
      </c>
      <c r="E20" s="182" t="s">
        <v>162</v>
      </c>
      <c r="F20" s="182" t="s">
        <v>161</v>
      </c>
      <c r="G20" s="182" t="s">
        <v>162</v>
      </c>
      <c r="H20" s="182" t="s">
        <v>163</v>
      </c>
      <c r="I20" s="182" t="s">
        <v>162</v>
      </c>
      <c r="K20" s="130"/>
      <c r="L20" s="133"/>
    </row>
    <row r="21" spans="2:12" ht="12" customHeight="1" thickBot="1">
      <c r="B21" s="183" t="str">
        <f>IF('[2]Plan'!D33="","",'[2]Plan'!B33&amp;" "&amp;'[2]Plan'!D33)</f>
        <v>DB Lämmer</v>
      </c>
      <c r="C21" s="697">
        <f>IF('[2]Plan'!G33="","",'[2]Plan'!G33)</f>
        <v>65</v>
      </c>
      <c r="D21" s="185">
        <f>IF('[2]Plan'!K33="","",'[2]Plan'!K33*(1+$D$15))</f>
        <v>83.71569230769232</v>
      </c>
      <c r="E21" s="186"/>
      <c r="F21" s="187">
        <f>IF('[2]Plan'!M33="","",'[2]Plan'!M33)</f>
        <v>3200</v>
      </c>
      <c r="G21" s="695">
        <f>IF(OR(F21="",$C21=""),"",-F21*$C21)</f>
        <v>-208000</v>
      </c>
      <c r="H21" s="847">
        <f>IF('[2]Plan'!P33="","",'[2]Plan'!P33*(1+$G$15))</f>
        <v>7.2</v>
      </c>
      <c r="I21" s="189"/>
      <c r="K21" s="130"/>
      <c r="L21" s="133"/>
    </row>
    <row r="22" spans="2:12" ht="12" customHeight="1">
      <c r="B22" s="183" t="str">
        <f>IF('[2]Plan'!D35="","",'[2]Plan'!B35&amp;" "&amp;'[2]Plan'!D35)</f>
        <v>DB Kartoffel</v>
      </c>
      <c r="C22" s="184">
        <f>IF('[2]Plan'!G35="","",'[2]Plan'!G35)</f>
        <v>1.5</v>
      </c>
      <c r="D22" s="698">
        <f>IF('[2]Plan'!K35="","",'[2]Plan'!K35*(1+$D$15))</f>
        <v>1260</v>
      </c>
      <c r="E22" s="230">
        <f>IF(OR(D22="",$C22=""),"",D22*$C22)</f>
        <v>1890</v>
      </c>
      <c r="F22" s="187">
        <f>IF('[2]Plan'!M35="","",'[2]Plan'!M35)</f>
        <v>0</v>
      </c>
      <c r="G22" s="695">
        <f>IF(OR(F22="",$C22=""),"",-F22*$C22)</f>
        <v>0</v>
      </c>
      <c r="H22" s="699">
        <f>IF('[2]Plan'!P35="","",'[2]Plan'!P35*(1+$G$15))</f>
        <v>76.5</v>
      </c>
      <c r="I22" s="694">
        <f>IF(OR(H22="",$C22=""),"",H22*$C22)</f>
        <v>114.75</v>
      </c>
      <c r="K22" s="140"/>
      <c r="L22" s="133"/>
    </row>
    <row r="23" spans="2:12" ht="12" customHeight="1">
      <c r="B23" s="183">
        <f>IF('[2]Plan'!D37="","",'[2]Plan'!B37&amp;" "&amp;'[2]Plan'!D37)</f>
      </c>
      <c r="C23" s="184">
        <f>IF('[2]Plan'!G37="","",'[2]Plan'!G37)</f>
      </c>
      <c r="D23" s="185">
        <f>IF('[2]Plan'!K37="","",'[2]Plan'!K37*(1+$D$15))</f>
      </c>
      <c r="E23" s="202">
        <f>IF(OR(D23="",$C23=""),"",D23*$C23)</f>
      </c>
      <c r="F23" s="187">
        <f>IF('[2]Plan'!M37="","",'[2]Plan'!M37)</f>
      </c>
      <c r="G23" s="695">
        <f>IF(OR(F23="",$C23=""),"",-F23*$C23)</f>
      </c>
      <c r="H23" s="188">
        <f>IF('[2]Plan'!P37="","",'[2]Plan'!P37*(1+$G$15))</f>
      </c>
      <c r="I23" s="696">
        <f>IF(OR(H23="",$C23=""),"",H23*$C23)</f>
      </c>
      <c r="K23" s="130"/>
      <c r="L23" s="133"/>
    </row>
    <row r="24" spans="2:12" ht="12" customHeight="1">
      <c r="B24" s="183">
        <f>IF('[2]Plan'!D39="","",'[2]Plan'!B39&amp;" "&amp;'[2]Plan'!D39)</f>
      </c>
      <c r="C24" s="184">
        <f>IF('[2]Plan'!G39="","",'[2]Plan'!G39)</f>
      </c>
      <c r="D24" s="185">
        <f>IF('[2]Plan'!K39="","",'[2]Plan'!K39*(1+$D$15))</f>
      </c>
      <c r="E24" s="202">
        <f>IF(OR(D24="",$C24=""),"",D24*$C24)</f>
      </c>
      <c r="F24" s="187">
        <f>IF('[2]Plan'!M39="","",'[2]Plan'!M39)</f>
      </c>
      <c r="G24" s="695">
        <f>IF(OR(F24="",$C24=""),"",-F24*$C24)</f>
      </c>
      <c r="H24" s="188">
        <f>IF('[2]Plan'!P39="","",'[2]Plan'!P39*(1+$G$15))</f>
      </c>
      <c r="I24" s="696">
        <f>IF(OR(H24="",$C24=""),"",H24*$C24)</f>
      </c>
      <c r="K24" s="130"/>
      <c r="L24" s="133"/>
    </row>
    <row r="25" spans="2:12" ht="12" customHeight="1">
      <c r="B25" s="183">
        <f>IF('[2]Plan'!D41="","",'[2]Plan'!B41&amp;" "&amp;'[2]Plan'!D41)</f>
      </c>
      <c r="C25" s="190">
        <f>IF('[2]Plan'!G41="","",'[2]Plan'!G41)</f>
      </c>
      <c r="D25" s="185">
        <f>IF('[2]Plan'!K41="","",'[2]Plan'!K41*(1+$D$15))</f>
      </c>
      <c r="E25" s="202">
        <f>IF(OR(D25="",$C25=""),"",D25*$C25)</f>
      </c>
      <c r="F25" s="187">
        <f>IF('[2]Plan'!M41="","",'[2]Plan'!M41)</f>
      </c>
      <c r="G25" s="695">
        <f>IF(OR(F25="",$C25=""),"",-F25*$C25)</f>
      </c>
      <c r="H25" s="188">
        <f>IF('[2]Plan'!P41="","",'[2]Plan'!P41*(1+$G$15))</f>
      </c>
      <c r="I25" s="696">
        <f>IF(OR(H25="",$C25=""),"",H25*$C25)</f>
      </c>
      <c r="K25" s="130"/>
      <c r="L25" s="133"/>
    </row>
    <row r="26" spans="2:12" ht="12" customHeight="1">
      <c r="B26" s="183">
        <f>IF('[2]Plan'!D43="","",'[2]Plan'!B43&amp;" "&amp;'[2]Plan'!D43)</f>
      </c>
      <c r="C26" s="190">
        <f>IF('[2]Plan'!G43="","",'[2]Plan'!G43)</f>
      </c>
      <c r="D26" s="185">
        <f>IF('[2]Plan'!K43="","",'[2]Plan'!K43*(1+$D$15))</f>
      </c>
      <c r="E26" s="202">
        <f>IF(OR(D26="",$C26=""),"",D26*$C26)</f>
      </c>
      <c r="F26" s="187">
        <f>IF('[2]Plan'!M43="","",'[2]Plan'!M43)</f>
      </c>
      <c r="G26" s="695"/>
      <c r="H26" s="188">
        <f>IF('[2]Plan'!P43="","",'[2]Plan'!P43*(1+$G$15))</f>
      </c>
      <c r="I26" s="696">
        <f>IF(OR(H26="",$C26=""),"",H26*$C26)</f>
      </c>
      <c r="K26" s="130"/>
      <c r="L26" s="133"/>
    </row>
    <row r="27" spans="2:12" ht="12" customHeight="1">
      <c r="B27" s="183">
        <f>IF('[2]Plan'!D45="","",'[2]Plan'!B45&amp;" "&amp;'[2]Plan'!D45)</f>
      </c>
      <c r="C27" s="190">
        <f>IF('[2]Plan'!G45="","",'[2]Plan'!G45)</f>
      </c>
      <c r="D27" s="185">
        <f>IF('[2]Plan'!K45="","",'[2]Plan'!K45*(1+$D$15))</f>
      </c>
      <c r="E27" s="202"/>
      <c r="F27" s="187">
        <f>IF('[2]Plan'!M45="","",'[2]Plan'!M45)</f>
      </c>
      <c r="G27" s="695"/>
      <c r="H27" s="188">
        <f>IF('[2]Plan'!P45="","",'[2]Plan'!P45*(1+$G$15))</f>
      </c>
      <c r="I27" s="696"/>
      <c r="K27" s="130"/>
      <c r="L27" s="133"/>
    </row>
    <row r="28" spans="2:12" ht="12" customHeight="1" thickBot="1">
      <c r="B28" s="183" t="str">
        <f>IF('[2]Plan'!D48="","",'[2]Plan'!B48&amp;" "&amp;'[2]Plan'!D48)</f>
        <v>VK Feldfutter  - Silage</v>
      </c>
      <c r="C28" s="190">
        <f>IF('[2]Plan'!G48="","",'[2]Plan'!G48)</f>
        <v>4</v>
      </c>
      <c r="D28" s="185">
        <f>IF('[2]Plan'!K48="","",'[2]Plan'!K48*(1+$D$16))</f>
        <v>865.8000000000001</v>
      </c>
      <c r="E28" s="212">
        <f aca="true" t="shared" si="0" ref="E28:E34">IF(OR(D28="",$C28=""),"",-D28*$C28)</f>
        <v>-3463.2000000000003</v>
      </c>
      <c r="F28" s="187">
        <f>IF('[2]Plan'!M48="","",'[2]Plan'!M48*(1+$G$16))</f>
        <v>76800</v>
      </c>
      <c r="G28" s="691">
        <f aca="true" t="shared" si="1" ref="G28:G34">IF(OR(F28="",$C28=""),"",F28*$C28)</f>
        <v>307200</v>
      </c>
      <c r="H28" s="188">
        <f>IF('[2]Plan'!P48="","",'[2]Plan'!P48*(1+$G$15))</f>
        <v>30.6</v>
      </c>
      <c r="I28" s="692">
        <f aca="true" t="shared" si="2" ref="I28:I34">IF(OR(H28="",$C28=""),"",H28*$C28)</f>
        <v>122.4</v>
      </c>
      <c r="K28" s="130"/>
      <c r="L28" s="133"/>
    </row>
    <row r="29" spans="2:12" ht="12" customHeight="1" thickBot="1">
      <c r="B29" s="183" t="str">
        <f>IF('[2]Plan'!D50="","",'[2]Plan'!B50&amp;" "&amp;'[2]Plan'!D50)</f>
        <v>VK Dauergrünland 3-schnittig</v>
      </c>
      <c r="C29" s="190">
        <f>IF('[2]Plan'!G50="","",'[2]Plan'!G50)</f>
        <v>6</v>
      </c>
      <c r="D29" s="185">
        <f>IF('[2]Plan'!K50="","",'[2]Plan'!K50*(1+$D$16))</f>
        <v>583.2</v>
      </c>
      <c r="E29" s="202">
        <f>IF(OR(D29="",$C29=""),"",-D29*$C29)</f>
        <v>-3499.2000000000003</v>
      </c>
      <c r="F29" s="187">
        <f>IF('[2]Plan'!M50="","",'[2]Plan'!M50*(1+$G$16))</f>
        <v>46960</v>
      </c>
      <c r="G29" s="1010"/>
      <c r="H29" s="188">
        <f>IF('[2]Plan'!P50="","",'[2]Plan'!P50*(1+$G$15))</f>
        <v>38.7</v>
      </c>
      <c r="I29" s="696">
        <f>IF(OR(H29="",$C29=""),"",H29*$C29)</f>
        <v>232.20000000000002</v>
      </c>
      <c r="K29" s="142"/>
      <c r="L29" s="133"/>
    </row>
    <row r="30" spans="2:12" ht="12" customHeight="1" thickBot="1">
      <c r="B30" s="183" t="str">
        <f>IF('[2]Plan'!D52="","",'[2]Plan'!B52&amp;" "&amp;'[2]Plan'!D52)</f>
        <v>VK Dauergrünland 1-schnittig</v>
      </c>
      <c r="C30" s="190">
        <f>IF('[2]Plan'!G52="","",'[2]Plan'!G52)</f>
        <v>4</v>
      </c>
      <c r="D30" s="185">
        <f>IF('[2]Plan'!K52="","",'[2]Plan'!K52*(1+$D$16))</f>
        <v>308.07684000000006</v>
      </c>
      <c r="E30" s="230">
        <f t="shared" si="0"/>
        <v>-1232.3073600000002</v>
      </c>
      <c r="F30" s="187">
        <f>IF('[2]Plan'!M52="","",'[2]Plan'!M52*(1+$G$16))</f>
        <v>13860</v>
      </c>
      <c r="G30" s="1010"/>
      <c r="H30" s="188">
        <f>IF('[2]Plan'!P52="","",'[2]Plan'!P52*(1+$G$15))</f>
        <v>27.255000000000003</v>
      </c>
      <c r="I30" s="694">
        <f t="shared" si="2"/>
        <v>109.02000000000001</v>
      </c>
      <c r="K30" s="142"/>
      <c r="L30" s="133"/>
    </row>
    <row r="31" spans="2:12" ht="12" customHeight="1">
      <c r="B31" s="183">
        <f>IF('[2]Plan'!D54="","",'[2]Plan'!B54&amp;" "&amp;'[2]Plan'!D54)</f>
      </c>
      <c r="C31" s="190">
        <f>IF('[2]Plan'!G54="","",'[2]Plan'!G54)</f>
      </c>
      <c r="D31" s="185">
        <f>IF('[2]Plan'!K54="","",'[2]Plan'!K54*(1+$D$16))</f>
      </c>
      <c r="E31" s="202">
        <f t="shared" si="0"/>
      </c>
      <c r="F31" s="187">
        <f>IF('[2]Plan'!M54="","",'[2]Plan'!M54*(1+$G$16))</f>
      </c>
      <c r="G31" s="695">
        <f t="shared" si="1"/>
      </c>
      <c r="H31" s="188">
        <f>IF('[2]Plan'!P54="","",'[2]Plan'!P54*(1+$G$15))</f>
      </c>
      <c r="I31" s="696">
        <f t="shared" si="2"/>
      </c>
      <c r="K31" s="142"/>
      <c r="L31" s="133"/>
    </row>
    <row r="32" spans="2:12" ht="12" customHeight="1">
      <c r="B32" s="183">
        <f>IF('[2]Plan'!D56="","",'[2]Plan'!B56&amp;" "&amp;'[2]Plan'!D56)</f>
      </c>
      <c r="C32" s="190">
        <f>IF('[2]Plan'!G56="","",'[2]Plan'!G56)</f>
      </c>
      <c r="D32" s="185">
        <f>IF('[2]Plan'!K56="","",'[2]Plan'!K56*(1+$D$16))</f>
      </c>
      <c r="E32" s="202">
        <f t="shared" si="0"/>
      </c>
      <c r="F32" s="187">
        <f>IF('[2]Plan'!M56="","",'[2]Plan'!M56*(1+$G$16))</f>
      </c>
      <c r="G32" s="695">
        <f t="shared" si="1"/>
      </c>
      <c r="H32" s="188">
        <f>IF('[2]Plan'!P56="","",'[2]Plan'!P56*(1+$G$15))</f>
      </c>
      <c r="I32" s="696">
        <f t="shared" si="2"/>
      </c>
      <c r="K32" s="130"/>
      <c r="L32" s="133"/>
    </row>
    <row r="33" spans="2:12" ht="12" customHeight="1">
      <c r="B33" s="183">
        <f>IF('[2]Plan'!D58="","",'[2]Plan'!B58&amp;" "&amp;'[2]Plan'!D58)</f>
      </c>
      <c r="C33" s="190">
        <f>IF('[2]Plan'!G58="","",'[2]Plan'!G58)</f>
      </c>
      <c r="D33" s="185">
        <f>IF('[2]Plan'!K58="","",'[2]Plan'!K58*(1+$D$16))</f>
      </c>
      <c r="E33" s="202">
        <f t="shared" si="0"/>
      </c>
      <c r="F33" s="187">
        <f>IF('[2]Plan'!M58="","",'[2]Plan'!M58*(1+$G$16))</f>
      </c>
      <c r="G33" s="695">
        <f t="shared" si="1"/>
      </c>
      <c r="H33" s="188">
        <f>IF('[2]Plan'!P58="","",'[2]Plan'!P58*(1+$G$15))</f>
      </c>
      <c r="I33" s="696">
        <f t="shared" si="2"/>
      </c>
      <c r="K33" s="130"/>
      <c r="L33" s="133"/>
    </row>
    <row r="34" spans="2:12" ht="12" customHeight="1" thickBot="1">
      <c r="B34" s="183">
        <f>IF('[2]Plan'!D60="","",'[2]Plan'!B60&amp;" "&amp;'[2]Plan'!D60)</f>
      </c>
      <c r="C34" s="190">
        <f>IF('[2]Plan'!G60="","",'[2]Plan'!G60)</f>
      </c>
      <c r="D34" s="185">
        <f>IF('[2]Plan'!K60="","",'[2]Plan'!K60*(1+$D$16))</f>
      </c>
      <c r="E34" s="212">
        <f t="shared" si="0"/>
      </c>
      <c r="F34" s="187">
        <f>IF('[2]Plan'!M60="","",'[2]Plan'!M60*(1+$G$16))</f>
      </c>
      <c r="G34" s="695">
        <f t="shared" si="1"/>
      </c>
      <c r="H34" s="188">
        <f>IF('[2]Plan'!P60="","",'[2]Plan'!P60*(1+$G$15))</f>
      </c>
      <c r="I34" s="696">
        <f t="shared" si="2"/>
      </c>
      <c r="K34" s="130"/>
      <c r="L34" s="133"/>
    </row>
    <row r="35" spans="2:12" ht="12" customHeight="1" thickBot="1">
      <c r="B35" s="193" t="s">
        <v>164</v>
      </c>
      <c r="C35" s="193"/>
      <c r="D35" s="193"/>
      <c r="E35" s="566"/>
      <c r="K35" s="130"/>
      <c r="L35" s="133"/>
    </row>
    <row r="36" spans="11:12" ht="16.5" customHeight="1">
      <c r="K36" s="130"/>
      <c r="L36" s="133"/>
    </row>
    <row r="37" spans="2:12" ht="12" customHeight="1" thickBot="1">
      <c r="B37" s="194" t="s">
        <v>165</v>
      </c>
      <c r="C37" s="194"/>
      <c r="D37" s="194"/>
      <c r="E37" s="194"/>
      <c r="F37" s="194" t="s">
        <v>166</v>
      </c>
      <c r="G37" s="195"/>
      <c r="H37" s="194"/>
      <c r="I37" s="195"/>
      <c r="J37" s="196"/>
      <c r="K37" s="130"/>
      <c r="L37" s="133"/>
    </row>
    <row r="38" spans="2:12" ht="12" customHeight="1">
      <c r="B38" s="183" t="str">
        <f>IF('[2]Plan'!B64="","",'[2]Plan'!B64)</f>
        <v>Maschinenringtätigkeit</v>
      </c>
      <c r="C38" s="197"/>
      <c r="D38" s="197"/>
      <c r="E38" s="202">
        <f>IF('[2]Plan'!G64="","",'[2]Plan'!G64)</f>
        <v>1105</v>
      </c>
      <c r="F38" s="1065" t="s">
        <v>167</v>
      </c>
      <c r="G38" s="1066"/>
      <c r="H38" s="1065" t="s">
        <v>168</v>
      </c>
      <c r="I38" s="1061"/>
      <c r="K38" s="130"/>
      <c r="L38" s="133"/>
    </row>
    <row r="39" spans="2:12" ht="12" customHeight="1">
      <c r="B39" s="183">
        <f>IF('[2]Plan'!B66="","",'[2]Plan'!B66)</f>
      </c>
      <c r="C39" s="197"/>
      <c r="D39" s="197"/>
      <c r="E39" s="202">
        <f>IF('[2]Plan'!G66="","",'[2]Plan'!G66)</f>
      </c>
      <c r="F39" s="1065"/>
      <c r="G39" s="1067"/>
      <c r="H39" s="1065"/>
      <c r="I39" s="1062"/>
      <c r="K39" s="130"/>
      <c r="L39" s="133"/>
    </row>
    <row r="40" spans="2:12" ht="12" customHeight="1" thickBot="1">
      <c r="B40" s="183">
        <f>IF('[2]Plan'!B68="","",'[2]Plan'!B68)</f>
      </c>
      <c r="C40" s="197"/>
      <c r="D40" s="197"/>
      <c r="E40" s="212">
        <f>IF('[2]Plan'!G68="","",'[2]Plan'!G68)</f>
      </c>
      <c r="F40" s="1065"/>
      <c r="G40" s="1068"/>
      <c r="H40" s="1065"/>
      <c r="I40" s="1063"/>
      <c r="K40" s="130"/>
      <c r="L40" s="133"/>
    </row>
    <row r="41" spans="2:12" ht="12" customHeight="1" thickBot="1">
      <c r="B41" s="200" t="s">
        <v>169</v>
      </c>
      <c r="C41" s="200"/>
      <c r="D41" s="200"/>
      <c r="E41" s="566"/>
      <c r="K41" s="130"/>
      <c r="L41" s="133"/>
    </row>
    <row r="42" spans="11:12" ht="16.5" customHeight="1">
      <c r="K42" s="130"/>
      <c r="L42" s="133"/>
    </row>
    <row r="43" spans="2:12" ht="12" customHeight="1">
      <c r="B43" s="194" t="s">
        <v>170</v>
      </c>
      <c r="C43" s="194"/>
      <c r="D43" s="182" t="s">
        <v>171</v>
      </c>
      <c r="E43" s="194"/>
      <c r="F43" s="194" t="s">
        <v>172</v>
      </c>
      <c r="G43" s="195"/>
      <c r="H43" s="194"/>
      <c r="I43" s="195"/>
      <c r="K43" s="130"/>
      <c r="L43" s="133"/>
    </row>
    <row r="44" spans="2:12" ht="12" customHeight="1">
      <c r="B44" s="183" t="str">
        <f>IF('[2]Plan'!B71="","",'[2]Plan'!B71)</f>
        <v>Ausgleichszulage</v>
      </c>
      <c r="C44" s="197"/>
      <c r="D44" s="197"/>
      <c r="E44" s="202">
        <f>IF('[2]Plan'!G71="","",'[2]Plan'!G71)</f>
        <v>2850</v>
      </c>
      <c r="F44" s="201" t="s">
        <v>202</v>
      </c>
      <c r="G44" s="201"/>
      <c r="H44" s="201"/>
      <c r="I44" s="202">
        <f>IF(Ist!I35="","noch leer",Ist!I35)</f>
        <v>-18112</v>
      </c>
      <c r="J44" s="203"/>
      <c r="K44" s="130"/>
      <c r="L44" s="133"/>
    </row>
    <row r="45" spans="2:12" ht="12" customHeight="1">
      <c r="B45" s="183" t="str">
        <f>IF('[2]Plan'!B73="","",'[2]Plan'!B73)</f>
        <v>EBP</v>
      </c>
      <c r="C45" s="197"/>
      <c r="D45" s="197"/>
      <c r="E45" s="202">
        <f>IF('[2]Plan'!G73="","",'[2]Plan'!G73)</f>
        <v>1690</v>
      </c>
      <c r="F45" s="204" t="s">
        <v>122</v>
      </c>
      <c r="G45" s="204"/>
      <c r="H45" s="204"/>
      <c r="I45" s="212" t="str">
        <f>IF(Fin!D16="","noch leer",Fin!D16)</f>
        <v>noch leer</v>
      </c>
      <c r="J45" s="203"/>
      <c r="K45" s="130"/>
      <c r="L45" s="133"/>
    </row>
    <row r="46" spans="2:12" ht="12" customHeight="1">
      <c r="B46" s="183" t="str">
        <f>IF('[2]Plan'!B75="","",'[2]Plan'!B75)</f>
        <v>Tierptämien - Mutterkuhhaltung</v>
      </c>
      <c r="C46" s="197"/>
      <c r="D46" s="197"/>
      <c r="E46" s="202">
        <f>IF('[2]Plan'!G75="","",'[2]Plan'!G75)</f>
        <v>1362</v>
      </c>
      <c r="F46" s="205" t="s">
        <v>203</v>
      </c>
      <c r="G46" s="205"/>
      <c r="H46" s="205"/>
      <c r="I46" s="909">
        <f>SUM(I44:I45)</f>
        <v>-18112</v>
      </c>
      <c r="J46" s="203"/>
      <c r="K46" s="130"/>
      <c r="L46" s="133"/>
    </row>
    <row r="47" spans="2:12" ht="12" customHeight="1">
      <c r="B47" s="183" t="str">
        <f>IF('[2]Plan'!B77="","",'[2]Plan'!B77)</f>
        <v>ÖPUL</v>
      </c>
      <c r="C47" s="197"/>
      <c r="D47" s="197"/>
      <c r="E47" s="202">
        <f>IF('[2]Plan'!G77="","",'[2]Plan'!G77)</f>
        <v>1710</v>
      </c>
      <c r="F47" s="197" t="s">
        <v>204</v>
      </c>
      <c r="G47" s="197"/>
      <c r="H47" s="197"/>
      <c r="I47" s="227">
        <f>IF(Fin!G35="","noch leer",Fin!G35)</f>
        <v>-801.1273815520228</v>
      </c>
      <c r="K47" s="130"/>
      <c r="L47" s="133"/>
    </row>
    <row r="48" spans="2:12" ht="12" customHeight="1">
      <c r="B48" s="183">
        <f>IF('[2]Plan'!B79="","",'[2]Plan'!B79)</f>
      </c>
      <c r="C48" s="197"/>
      <c r="D48" s="197"/>
      <c r="E48" s="202">
        <f>IF('[2]Plan'!G79="","",'[2]Plan'!G79)</f>
      </c>
      <c r="F48" s="205" t="s">
        <v>205</v>
      </c>
      <c r="G48" s="205"/>
      <c r="H48" s="205"/>
      <c r="I48" s="228">
        <f>IF(G12="","noch leer",G12)</f>
        <v>56650</v>
      </c>
      <c r="K48" s="130"/>
      <c r="L48" s="133"/>
    </row>
    <row r="49" spans="2:12" ht="12" customHeight="1" thickBot="1">
      <c r="B49" s="183">
        <f>IF('[2]Plan'!B81="","",'[2]Plan'!B81)</f>
      </c>
      <c r="C49" s="197"/>
      <c r="D49" s="197"/>
      <c r="E49" s="212">
        <f>IF('[2]Plan'!G81="","",'[2]Plan'!G81)</f>
      </c>
      <c r="F49" s="229" t="s">
        <v>206</v>
      </c>
      <c r="G49" s="229"/>
      <c r="H49" s="229"/>
      <c r="I49" s="914">
        <f>SUM(G6:G9)</f>
        <v>12000</v>
      </c>
      <c r="K49" s="130"/>
      <c r="L49" s="133"/>
    </row>
    <row r="50" spans="2:12" ht="12" customHeight="1" thickBot="1">
      <c r="B50" s="193" t="s">
        <v>178</v>
      </c>
      <c r="C50" s="193"/>
      <c r="D50" s="193"/>
      <c r="E50" s="566"/>
      <c r="F50" s="209"/>
      <c r="K50" s="130"/>
      <c r="L50" s="133"/>
    </row>
    <row r="51" spans="11:12" ht="16.5" customHeight="1">
      <c r="K51" s="130"/>
      <c r="L51" s="133"/>
    </row>
    <row r="52" spans="2:12" ht="12" customHeight="1">
      <c r="B52" s="193" t="s">
        <v>179</v>
      </c>
      <c r="C52" s="193"/>
      <c r="D52" s="193"/>
      <c r="E52" s="909">
        <f>SUM(E35,E41,E50)</f>
        <v>0</v>
      </c>
      <c r="K52" s="130"/>
      <c r="L52" s="133"/>
    </row>
    <row r="53" spans="2:12" ht="12" customHeight="1">
      <c r="B53" s="210" t="s">
        <v>180</v>
      </c>
      <c r="C53" s="211"/>
      <c r="D53" s="211"/>
      <c r="E53" s="230" t="str">
        <f>IF(Ist!E38="","noch leer",Ist!E38)</f>
        <v>noch leer</v>
      </c>
      <c r="K53" s="130"/>
      <c r="L53" s="133"/>
    </row>
    <row r="54" spans="2:12" ht="12" customHeight="1">
      <c r="B54" s="210" t="s">
        <v>207</v>
      </c>
      <c r="C54" s="211"/>
      <c r="D54" s="211"/>
      <c r="E54" s="202" t="str">
        <f>IF(E12="","noch leer",-E12)</f>
        <v>noch leer</v>
      </c>
      <c r="K54" s="130"/>
      <c r="L54" s="133"/>
    </row>
    <row r="55" spans="2:12" ht="12" customHeight="1">
      <c r="B55" s="210" t="s">
        <v>208</v>
      </c>
      <c r="C55" s="211"/>
      <c r="D55" s="211"/>
      <c r="E55" s="212">
        <f>IF(Fin!F46="","",Fin!F46)</f>
        <v>-169.54843418360178</v>
      </c>
      <c r="K55" s="130"/>
      <c r="L55" s="133"/>
    </row>
    <row r="56" spans="2:12" ht="12" customHeight="1" thickBot="1">
      <c r="B56" s="810" t="s">
        <v>209</v>
      </c>
      <c r="C56" s="229"/>
      <c r="D56" s="229"/>
      <c r="E56" s="913">
        <f>SUM(E52:E55)-E50</f>
        <v>-169.54843418360178</v>
      </c>
      <c r="K56" s="130"/>
      <c r="L56" s="133"/>
    </row>
    <row r="57" spans="2:12" ht="12" customHeight="1" thickBot="1">
      <c r="B57" s="810" t="s">
        <v>181</v>
      </c>
      <c r="C57" s="229"/>
      <c r="D57" s="229"/>
      <c r="E57" s="213"/>
      <c r="K57" s="130"/>
      <c r="L57" s="133"/>
    </row>
    <row r="58" spans="2:12" ht="12" customHeight="1" thickBot="1">
      <c r="B58" s="811" t="s">
        <v>523</v>
      </c>
      <c r="C58" s="229"/>
      <c r="D58" s="229"/>
      <c r="E58" s="213"/>
      <c r="K58" s="130"/>
      <c r="L58" s="133"/>
    </row>
    <row r="59" spans="2:12" ht="12" customHeight="1">
      <c r="B59" s="183" t="s">
        <v>182</v>
      </c>
      <c r="C59" s="214"/>
      <c r="D59" s="214"/>
      <c r="E59" s="230">
        <f>IF('[2]Plan'!G84="","",'[2]Plan'!G84)</f>
        <v>5800</v>
      </c>
      <c r="K59" s="130"/>
      <c r="L59" s="133"/>
    </row>
    <row r="60" spans="2:12" ht="15.75" customHeight="1" thickBot="1">
      <c r="B60" s="183" t="s">
        <v>183</v>
      </c>
      <c r="C60" s="214"/>
      <c r="D60" s="214"/>
      <c r="E60" s="212">
        <f>IF('[2]Plan'!G86="","",'[2]Plan'!G86)</f>
        <v>31730</v>
      </c>
      <c r="K60" s="130"/>
      <c r="L60" s="133"/>
    </row>
    <row r="61" spans="2:12" ht="11.25" customHeight="1" thickBot="1">
      <c r="B61" s="1064" t="s">
        <v>184</v>
      </c>
      <c r="C61" s="1064"/>
      <c r="D61" s="1064"/>
      <c r="E61" s="208"/>
      <c r="K61" s="130"/>
      <c r="L61" s="133"/>
    </row>
    <row r="62" spans="11:12" ht="11.25" customHeight="1">
      <c r="K62" s="130"/>
      <c r="L62" s="133"/>
    </row>
  </sheetData>
  <sheetProtection sheet="1" objects="1" scenarios="1"/>
  <mergeCells count="11">
    <mergeCell ref="B61:D61"/>
    <mergeCell ref="F38:F40"/>
    <mergeCell ref="H38:H40"/>
    <mergeCell ref="G38:G40"/>
    <mergeCell ref="C18:C20"/>
    <mergeCell ref="D18:E19"/>
    <mergeCell ref="L1:L2"/>
    <mergeCell ref="B18:B20"/>
    <mergeCell ref="F18:G19"/>
    <mergeCell ref="H18:I19"/>
    <mergeCell ref="I38:I40"/>
  </mergeCells>
  <conditionalFormatting sqref="I38:I40 G38:G40">
    <cfRule type="expression" priority="1" dxfId="111" stopIfTrue="1">
      <formula>F$38=""</formula>
    </cfRule>
  </conditionalFormatting>
  <conditionalFormatting sqref="C21:D22 C11:E11 F21:F22 C5:E7 H21:H22 H28:H30 F28:F30 C28:D30">
    <cfRule type="expression" priority="2" dxfId="52" stopIfTrue="1">
      <formula>$B5=""</formula>
    </cfRule>
  </conditionalFormatting>
  <conditionalFormatting sqref="G5:I6">
    <cfRule type="expression" priority="3" dxfId="52" stopIfTrue="1">
      <formula>$F5=""</formula>
    </cfRule>
  </conditionalFormatting>
  <conditionalFormatting sqref="E38 E59:E60 E44:E47">
    <cfRule type="cellIs" priority="4" dxfId="111" operator="equal" stopIfTrue="1">
      <formula>""</formula>
    </cfRule>
  </conditionalFormatting>
  <conditionalFormatting sqref="I44:I45 I47 E53:E55">
    <cfRule type="cellIs" priority="5" dxfId="111" operator="equal" stopIfTrue="1">
      <formula>""</formula>
    </cfRule>
    <cfRule type="cellIs" priority="6" dxfId="1" operator="equal" stopIfTrue="1">
      <formula>"noch leer"</formula>
    </cfRule>
  </conditionalFormatting>
  <conditionalFormatting sqref="G21:G22 E21:E22 I21:I22 I28:I30 E28:E30 G28:G30">
    <cfRule type="expression" priority="7" dxfId="23" stopIfTrue="1">
      <formula>$B21=""</formula>
    </cfRule>
  </conditionalFormatting>
  <conditionalFormatting sqref="I48">
    <cfRule type="cellIs" priority="9" dxfId="1" operator="equal" stopIfTrue="1">
      <formula>"noch leer"</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rowBreaks count="2" manualBreakCount="2">
    <brk id="61" max="255" man="1"/>
    <brk id="102"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indexed="10"/>
  </sheetPr>
  <dimension ref="A1:L44"/>
  <sheetViews>
    <sheetView showGridLines="0" zoomScalePageLayoutView="0" workbookViewId="0" topLeftCell="A1">
      <pane ySplit="2" topLeftCell="A3" activePane="bottomLeft" state="frozen"/>
      <selection pane="topLeft" activeCell="E12" sqref="E12:M18"/>
      <selection pane="bottomLeft" activeCell="E7" sqref="E7"/>
    </sheetView>
  </sheetViews>
  <sheetFormatPr defaultColWidth="0" defaultRowHeight="0" customHeight="1" zeroHeight="1"/>
  <cols>
    <col min="1" max="1" width="1.7109375" style="178" customWidth="1"/>
    <col min="2" max="2" width="17.7109375" style="178" customWidth="1"/>
    <col min="3" max="3" width="7.7109375" style="178" customWidth="1"/>
    <col min="4" max="9" width="10.00390625" style="178" customWidth="1"/>
    <col min="10" max="10" width="1.7109375" style="178" customWidth="1"/>
    <col min="11" max="11" width="0.85546875" style="178" customWidth="1"/>
    <col min="12" max="12" width="20.7109375" style="178" customWidth="1"/>
    <col min="13" max="16384" width="11.421875" style="178" hidden="1" customWidth="1"/>
  </cols>
  <sheetData>
    <row r="1" spans="1:12" ht="24.75" customHeight="1">
      <c r="A1" s="179"/>
      <c r="B1" s="180" t="s">
        <v>150</v>
      </c>
      <c r="C1" s="180"/>
      <c r="D1" s="180"/>
      <c r="E1" s="180"/>
      <c r="F1" s="180"/>
      <c r="G1" s="180"/>
      <c r="H1" s="180"/>
      <c r="I1" s="180"/>
      <c r="J1" s="180"/>
      <c r="K1" s="129"/>
      <c r="L1" s="1043" t="s">
        <v>100</v>
      </c>
    </row>
    <row r="2" spans="11:12" ht="9.75" customHeight="1">
      <c r="K2" s="130"/>
      <c r="L2" s="1044"/>
    </row>
    <row r="3" spans="2:12" ht="15.75" customHeight="1">
      <c r="B3" s="1058" t="s">
        <v>151</v>
      </c>
      <c r="C3" s="1059" t="s">
        <v>152</v>
      </c>
      <c r="D3" s="1083" t="s">
        <v>153</v>
      </c>
      <c r="E3" s="1083"/>
      <c r="F3" s="1083" t="s">
        <v>154</v>
      </c>
      <c r="G3" s="1083"/>
      <c r="H3" s="1059" t="s">
        <v>155</v>
      </c>
      <c r="I3" s="1060"/>
      <c r="K3" s="130"/>
      <c r="L3" s="133"/>
    </row>
    <row r="4" spans="2:12" ht="15.75" customHeight="1">
      <c r="B4" s="1058" t="s">
        <v>156</v>
      </c>
      <c r="C4" s="1059" t="s">
        <v>157</v>
      </c>
      <c r="D4" s="1083" t="s">
        <v>158</v>
      </c>
      <c r="E4" s="1083"/>
      <c r="F4" s="1083" t="s">
        <v>159</v>
      </c>
      <c r="G4" s="1083"/>
      <c r="H4" s="1060" t="s">
        <v>160</v>
      </c>
      <c r="I4" s="1060"/>
      <c r="K4" s="130"/>
      <c r="L4" s="133"/>
    </row>
    <row r="5" spans="2:12" ht="15.75" customHeight="1" thickBot="1">
      <c r="B5" s="1058"/>
      <c r="C5" s="1059"/>
      <c r="D5" s="182" t="s">
        <v>161</v>
      </c>
      <c r="E5" s="182" t="s">
        <v>162</v>
      </c>
      <c r="F5" s="182" t="s">
        <v>161</v>
      </c>
      <c r="G5" s="182" t="s">
        <v>162</v>
      </c>
      <c r="H5" s="182" t="s">
        <v>163</v>
      </c>
      <c r="I5" s="182" t="s">
        <v>162</v>
      </c>
      <c r="K5" s="130"/>
      <c r="L5" s="133"/>
    </row>
    <row r="6" spans="2:12" ht="15.75" customHeight="1" thickBot="1">
      <c r="B6" s="183" t="str">
        <f>IF('[2]Ist'!D13="","",'[2]Ist'!B13&amp;" "&amp;'[2]Ist'!D13)</f>
        <v>DB Milchkuh</v>
      </c>
      <c r="C6" s="184">
        <f>IF('[2]Ist'!G13="","",'[2]Ist'!G13)</f>
        <v>4</v>
      </c>
      <c r="D6" s="185">
        <f>IF('[2]Ist'!K13="","",'[2]Ist'!K13)</f>
        <v>596.3666666666668</v>
      </c>
      <c r="E6" s="212">
        <f>C6*D6</f>
        <v>2385.466666666667</v>
      </c>
      <c r="F6" s="187">
        <f>IF('[2]Ist'!M13="","",'[2]Ist'!M13)</f>
        <v>7993.3677307199905</v>
      </c>
      <c r="G6" s="691">
        <f>-C6*F6</f>
        <v>-31973.470922879962</v>
      </c>
      <c r="H6" s="188">
        <f>IF('[2]Ist'!O13="","",'[2]Ist'!O13)</f>
        <v>354.0629166666667</v>
      </c>
      <c r="I6" s="186"/>
      <c r="K6" s="130"/>
      <c r="L6" s="133"/>
    </row>
    <row r="7" spans="2:12" ht="15.75" customHeight="1" thickBot="1">
      <c r="B7" s="183" t="str">
        <f>IF('[2]Ist'!D15="","",'[2]Ist'!B15&amp;" "&amp;'[2]Ist'!D15)</f>
        <v>DB Kalbinnen</v>
      </c>
      <c r="C7" s="184">
        <f>IF('[2]Ist'!G15="","",'[2]Ist'!G15)</f>
        <v>2</v>
      </c>
      <c r="D7" s="185">
        <f>IF('[2]Ist'!K15="","",'[2]Ist'!K15)</f>
        <v>781</v>
      </c>
      <c r="E7" s="186"/>
      <c r="F7" s="187">
        <f>IF('[2]Ist'!M15="","",'[2]Ist'!M15)</f>
        <v>28500</v>
      </c>
      <c r="G7" s="695">
        <f>-C7*F7</f>
        <v>-57000</v>
      </c>
      <c r="H7" s="188">
        <f>IF('[2]Ist'!O15="","",'[2]Ist'!O15)</f>
        <v>60</v>
      </c>
      <c r="I7" s="186"/>
      <c r="K7" s="130"/>
      <c r="L7" s="133"/>
    </row>
    <row r="8" spans="2:12" ht="15.75" customHeight="1" thickBot="1">
      <c r="B8" s="183" t="str">
        <f>IF('[2]Ist'!D17="","",'[2]Ist'!B17&amp;" "&amp;'[2]Ist'!D17)</f>
        <v>DB Milchkälber</v>
      </c>
      <c r="C8" s="184">
        <f>IF('[2]Ist'!G17="","",'[2]Ist'!G17)</f>
        <v>5</v>
      </c>
      <c r="D8" s="185">
        <f>IF('[2]Ist'!K17="","",'[2]Ist'!K17)</f>
        <v>8</v>
      </c>
      <c r="E8" s="186"/>
      <c r="F8" s="187">
        <f>IF('[2]Ist'!M17="","",'[2]Ist'!M17)</f>
        <v>0</v>
      </c>
      <c r="G8" s="693"/>
      <c r="H8" s="188">
        <f>IF('[2]Ist'!O17="","",'[2]Ist'!O17)</f>
        <v>9.3</v>
      </c>
      <c r="I8" s="694">
        <f>C8*H8</f>
        <v>46.5</v>
      </c>
      <c r="K8" s="130"/>
      <c r="L8" s="133"/>
    </row>
    <row r="9" spans="2:12" ht="15.75" customHeight="1" thickBot="1">
      <c r="B9" s="183" t="str">
        <f>IF('[2]Ist'!D19="","",'[2]Ist'!B19&amp;" "&amp;'[2]Ist'!D19)</f>
        <v>DB Mastschweine</v>
      </c>
      <c r="C9" s="184">
        <f>IF('[2]Ist'!G19="","",'[2]Ist'!G19)</f>
        <v>4</v>
      </c>
      <c r="D9" s="185">
        <f>IF('[2]Ist'!K19="","",'[2]Ist'!K19)</f>
        <v>28</v>
      </c>
      <c r="E9" s="186"/>
      <c r="F9" s="187">
        <f>IF('[2]Ist'!M19="","",'[2]Ist'!M19)</f>
        <v>0</v>
      </c>
      <c r="G9" s="695"/>
      <c r="H9" s="188">
        <f>IF('[2]Ist'!O19="","",'[2]Ist'!O19)</f>
        <v>3.2</v>
      </c>
      <c r="I9" s="696">
        <f>C9*H9</f>
        <v>12.8</v>
      </c>
      <c r="K9" s="130"/>
      <c r="L9" s="133"/>
    </row>
    <row r="10" spans="2:12" ht="15.75" customHeight="1" thickBot="1">
      <c r="B10" s="183" t="str">
        <f>IF('[2]Ist'!D21="","",'[2]Ist'!B21&amp;" "&amp;'[2]Ist'!D21)</f>
        <v>DB Kartoffel</v>
      </c>
      <c r="C10" s="190">
        <f>IF('[2]Ist'!G21="","",'[2]Ist'!G21)</f>
        <v>1</v>
      </c>
      <c r="D10" s="185">
        <f>IF('[2]Ist'!K21="","",'[2]Ist'!K21)</f>
        <v>900</v>
      </c>
      <c r="E10" s="186"/>
      <c r="F10" s="187">
        <f>IF('[2]Ist'!M21="","",'[2]Ist'!M21)</f>
        <v>0</v>
      </c>
      <c r="G10" s="695"/>
      <c r="H10" s="188">
        <f>IF('[2]Ist'!O21="","",'[2]Ist'!O21)</f>
        <v>85</v>
      </c>
      <c r="I10" s="696">
        <f>C10*H10</f>
        <v>85</v>
      </c>
      <c r="K10" s="130"/>
      <c r="L10" s="133"/>
    </row>
    <row r="11" spans="2:12" ht="15.75" customHeight="1">
      <c r="B11" s="183">
        <f>IF('[2]Ist'!D23="","",'[2]Ist'!B23&amp;" "&amp;'[2]Ist'!D23)</f>
      </c>
      <c r="C11" s="190">
        <f>IF('[2]Ist'!G23="","",'[2]Ist'!G23)</f>
      </c>
      <c r="D11" s="185">
        <f>IF('[2]Ist'!K23="","",'[2]Ist'!K23)</f>
      </c>
      <c r="E11" s="202"/>
      <c r="F11" s="187">
        <f>IF('[2]Ist'!M23="","",'[2]Ist'!M23)</f>
      </c>
      <c r="G11" s="695"/>
      <c r="H11" s="188">
        <f>IF('[2]Ist'!O23="","",'[2]Ist'!O23)</f>
      </c>
      <c r="I11" s="696"/>
      <c r="K11" s="130"/>
      <c r="L11" s="133"/>
    </row>
    <row r="12" spans="2:12" ht="15.75" customHeight="1">
      <c r="B12" s="183">
        <f>IF('[2]Ist'!D25="","",'[2]Ist'!B25&amp;" "&amp;'[2]Ist'!D25)</f>
      </c>
      <c r="C12" s="190">
        <f>IF('[2]Ist'!G25="","",'[2]Ist'!G25)</f>
      </c>
      <c r="D12" s="185">
        <f>IF('[2]Ist'!K25="","",'[2]Ist'!K25)</f>
      </c>
      <c r="E12" s="202"/>
      <c r="F12" s="187">
        <f>IF('[2]Ist'!M25="","",'[2]Ist'!M25)</f>
      </c>
      <c r="G12" s="695"/>
      <c r="H12" s="188">
        <f>IF('[2]Ist'!O25="","",'[2]Ist'!O25)</f>
      </c>
      <c r="I12" s="696"/>
      <c r="K12" s="130"/>
      <c r="L12" s="133"/>
    </row>
    <row r="13" spans="2:12" ht="15.75" customHeight="1" thickBot="1">
      <c r="B13" s="183" t="str">
        <f>IF('[2]Ist'!D27="","",'[2]Ist'!B27&amp;" "&amp;'[2]Ist'!D27)</f>
        <v>VK Feldfutter - Heu</v>
      </c>
      <c r="C13" s="190">
        <f>IF('[2]Ist'!G27="","",'[2]Ist'!G27)</f>
        <v>1.25</v>
      </c>
      <c r="D13" s="185">
        <f>IF('[2]Ist'!K27="","",'[2]Ist'!K27)</f>
        <v>815</v>
      </c>
      <c r="E13" s="202">
        <f>-C13*D13</f>
        <v>-1018.75</v>
      </c>
      <c r="F13" s="187">
        <f>IF('[2]Ist'!M27="","",'[2]Ist'!M27)</f>
        <v>57100</v>
      </c>
      <c r="G13" s="695">
        <f>C13*F13</f>
        <v>71375</v>
      </c>
      <c r="H13" s="188">
        <f>IF('[2]Ist'!O27="","",'[2]Ist'!O27)</f>
        <v>43</v>
      </c>
      <c r="I13" s="696">
        <f>C13*H13</f>
        <v>53.75</v>
      </c>
      <c r="K13" s="130"/>
      <c r="L13" s="133"/>
    </row>
    <row r="14" spans="2:12" ht="15.75" customHeight="1" thickBot="1">
      <c r="B14" s="183" t="str">
        <f>IF('[2]Ist'!D29="","",'[2]Ist'!B29&amp;" "&amp;'[2]Ist'!D29)</f>
        <v>VK Dauergrünland 3-schnittig</v>
      </c>
      <c r="C14" s="190">
        <f>IF('[2]Ist'!G29="","",'[2]Ist'!G29)</f>
        <v>3.3</v>
      </c>
      <c r="D14" s="185">
        <f>IF('[2]Ist'!K29="","",'[2]Ist'!K29)</f>
        <v>648</v>
      </c>
      <c r="E14" s="212">
        <f>-C14*D14</f>
        <v>-2138.4</v>
      </c>
      <c r="F14" s="187">
        <f>IF('[2]Ist'!M29="","",'[2]Ist'!M29)</f>
        <v>46960</v>
      </c>
      <c r="G14" s="186"/>
      <c r="H14" s="188">
        <f>IF('[2]Ist'!O29="","",'[2]Ist'!O29)</f>
        <v>43</v>
      </c>
      <c r="I14" s="692">
        <f>C14*H14</f>
        <v>141.9</v>
      </c>
      <c r="K14" s="130"/>
      <c r="L14" s="133"/>
    </row>
    <row r="15" spans="2:12" ht="15.75" customHeight="1" thickBot="1">
      <c r="B15" s="183" t="str">
        <f>IF('[2]Ist'!D31="","",'[2]Ist'!B31&amp;" "&amp;'[2]Ist'!D31)</f>
        <v>VK Dauergrünland 1-schnittig</v>
      </c>
      <c r="C15" s="190">
        <f>IF('[2]Ist'!G31="","",'[2]Ist'!G31)</f>
        <v>2.7</v>
      </c>
      <c r="D15" s="185">
        <f>IF('[2]Ist'!K31="","",'[2]Ist'!K31)</f>
        <v>342.30760000000004</v>
      </c>
      <c r="E15" s="202">
        <f>-C15*D15</f>
        <v>-924.2305200000002</v>
      </c>
      <c r="F15" s="187">
        <f>IF('[2]Ist'!M31="","",'[2]Ist'!M31)</f>
        <v>13860</v>
      </c>
      <c r="G15" s="186"/>
      <c r="H15" s="188">
        <f>IF('[2]Ist'!O31="","",'[2]Ist'!O31)</f>
        <v>30.283333333333335</v>
      </c>
      <c r="I15" s="696">
        <f>C15*H15</f>
        <v>81.76500000000001</v>
      </c>
      <c r="K15" s="130"/>
      <c r="L15" s="133"/>
    </row>
    <row r="16" spans="2:12" ht="15.75" customHeight="1">
      <c r="B16" s="183">
        <f>IF('[2]Ist'!D33="","",'[2]Ist'!B33&amp;" "&amp;'[2]Ist'!D33)</f>
      </c>
      <c r="C16" s="190">
        <f>IF('[2]Ist'!G33="","",'[2]Ist'!G33)</f>
      </c>
      <c r="D16" s="185">
        <f>IF('[2]Ist'!K33="","",'[2]Ist'!K33)</f>
      </c>
      <c r="E16" s="230"/>
      <c r="F16" s="187">
        <f>IF('[2]Ist'!M33="","",'[2]Ist'!M33)</f>
      </c>
      <c r="G16" s="693"/>
      <c r="H16" s="188">
        <f>IF('[2]Ist'!O33="","",'[2]Ist'!O33)</f>
      </c>
      <c r="I16" s="694"/>
      <c r="K16" s="130"/>
      <c r="L16" s="133"/>
    </row>
    <row r="17" spans="2:12" ht="15.75" customHeight="1">
      <c r="B17" s="183">
        <f>IF('[2]Ist'!D35="","",'[2]Ist'!B35&amp;" "&amp;'[2]Ist'!D35)</f>
      </c>
      <c r="C17" s="190">
        <f>IF('[2]Ist'!G35="","",'[2]Ist'!G35)</f>
      </c>
      <c r="D17" s="185">
        <f>IF('[2]Ist'!K35="","",'[2]Ist'!K35)</f>
      </c>
      <c r="E17" s="202"/>
      <c r="F17" s="187">
        <f>IF('[2]Ist'!M35="","",'[2]Ist'!M35)</f>
      </c>
      <c r="G17" s="695"/>
      <c r="H17" s="188">
        <f>IF('[2]Ist'!O35="","",'[2]Ist'!O35)</f>
      </c>
      <c r="I17" s="696"/>
      <c r="K17" s="130"/>
      <c r="L17" s="133"/>
    </row>
    <row r="18" spans="2:12" ht="15.75" customHeight="1">
      <c r="B18" s="183">
        <f>IF('[2]Ist'!D39="","",'[2]Ist'!B39&amp;" "&amp;'[2]Ist'!D39)</f>
      </c>
      <c r="C18" s="190">
        <f>IF('[2]Ist'!G39="","",'[2]Ist'!G39)</f>
      </c>
      <c r="D18" s="185">
        <f>IF('[2]Ist'!K39="","",'[2]Ist'!K39)</f>
      </c>
      <c r="E18" s="202"/>
      <c r="F18" s="187">
        <f>IF('[2]Ist'!M39="","",'[2]Ist'!M39)</f>
      </c>
      <c r="G18" s="695"/>
      <c r="H18" s="188">
        <f>IF('[2]Ist'!O39="","",'[2]Ist'!O39)</f>
      </c>
      <c r="I18" s="696"/>
      <c r="K18" s="130"/>
      <c r="L18" s="133"/>
    </row>
    <row r="19" spans="2:12" ht="15.75" customHeight="1" thickBot="1">
      <c r="B19" s="183">
        <f>IF('[2]Ist'!D41="","",'[2]Ist'!B41&amp;" "&amp;'[2]Ist'!D41)</f>
      </c>
      <c r="C19" s="190">
        <f>IF('[2]Ist'!G41="","",'[2]Ist'!G41)</f>
      </c>
      <c r="D19" s="185">
        <f>IF('[2]Ist'!K41="","",'[2]Ist'!K41)</f>
      </c>
      <c r="E19" s="202"/>
      <c r="F19" s="187">
        <f>IF('[2]Ist'!M41="","",'[2]Ist'!M41)</f>
      </c>
      <c r="G19" s="695"/>
      <c r="H19" s="188">
        <f>IF('[2]Ist'!O41="","",'[2]Ist'!O41)</f>
      </c>
      <c r="I19" s="696"/>
      <c r="K19" s="130"/>
      <c r="L19" s="133"/>
    </row>
    <row r="20" spans="2:12" ht="15.75" customHeight="1" thickBot="1">
      <c r="B20" s="193" t="s">
        <v>164</v>
      </c>
      <c r="C20" s="193"/>
      <c r="D20" s="193"/>
      <c r="E20" s="566"/>
      <c r="K20" s="130"/>
      <c r="L20" s="133"/>
    </row>
    <row r="21" spans="11:12" ht="39.75" customHeight="1">
      <c r="K21" s="130"/>
      <c r="L21" s="133"/>
    </row>
    <row r="22" spans="2:12" ht="15.75" customHeight="1" thickBot="1">
      <c r="B22" s="194" t="s">
        <v>165</v>
      </c>
      <c r="C22" s="194"/>
      <c r="D22" s="194"/>
      <c r="E22" s="194"/>
      <c r="F22" s="194" t="s">
        <v>166</v>
      </c>
      <c r="G22" s="195"/>
      <c r="H22" s="194"/>
      <c r="I22" s="195"/>
      <c r="J22" s="196"/>
      <c r="K22" s="140"/>
      <c r="L22" s="133"/>
    </row>
    <row r="23" spans="2:12" ht="15.75" customHeight="1">
      <c r="B23" s="183" t="str">
        <f>IF('[2]Ist'!B43="","",'[2]Ist'!B43)</f>
        <v>Maschinenringtätigkeit</v>
      </c>
      <c r="C23" s="197"/>
      <c r="D23" s="197"/>
      <c r="E23" s="202">
        <f>IF('[2]Ist'!G43="","",'[2]Ist'!G43)</f>
        <v>850</v>
      </c>
      <c r="F23" s="1065" t="s">
        <v>167</v>
      </c>
      <c r="G23" s="1077"/>
      <c r="H23" s="1065" t="s">
        <v>168</v>
      </c>
      <c r="I23" s="1080"/>
      <c r="K23" s="130"/>
      <c r="L23" s="133"/>
    </row>
    <row r="24" spans="2:12" ht="15.75" customHeight="1">
      <c r="B24" s="183">
        <f>IF('[2]Ist'!B45="","",'[2]Ist'!B45)</f>
      </c>
      <c r="C24" s="197"/>
      <c r="D24" s="197"/>
      <c r="E24" s="202">
        <f>IF('[2]Ist'!G45="","",'[2]Ist'!G45)</f>
      </c>
      <c r="F24" s="1065"/>
      <c r="G24" s="1078"/>
      <c r="H24" s="1065"/>
      <c r="I24" s="1081"/>
      <c r="K24" s="130"/>
      <c r="L24" s="133"/>
    </row>
    <row r="25" spans="2:12" ht="15.75" customHeight="1" thickBot="1">
      <c r="B25" s="183">
        <f>IF('[2]Ist'!B47="","",'[2]Ist'!B47)</f>
      </c>
      <c r="C25" s="197"/>
      <c r="D25" s="197"/>
      <c r="E25" s="212">
        <f>IF('[2]Ist'!G47="","",'[2]Ist'!G47)</f>
      </c>
      <c r="F25" s="1065"/>
      <c r="G25" s="1079"/>
      <c r="H25" s="1065"/>
      <c r="I25" s="1082"/>
      <c r="K25" s="130"/>
      <c r="L25" s="133"/>
    </row>
    <row r="26" spans="2:12" ht="15.75" customHeight="1" thickBot="1">
      <c r="B26" s="200" t="s">
        <v>169</v>
      </c>
      <c r="C26" s="200"/>
      <c r="D26" s="200"/>
      <c r="E26" s="566"/>
      <c r="K26" s="130"/>
      <c r="L26" s="133"/>
    </row>
    <row r="27" spans="11:12" ht="15.75" customHeight="1">
      <c r="K27" s="130"/>
      <c r="L27" s="133"/>
    </row>
    <row r="28" spans="2:12" ht="15.75" customHeight="1">
      <c r="B28" s="194" t="s">
        <v>170</v>
      </c>
      <c r="C28" s="194"/>
      <c r="D28" s="182" t="s">
        <v>171</v>
      </c>
      <c r="E28" s="194"/>
      <c r="F28" s="194" t="s">
        <v>172</v>
      </c>
      <c r="G28" s="195"/>
      <c r="H28" s="194"/>
      <c r="I28" s="195"/>
      <c r="K28" s="130"/>
      <c r="L28" s="133"/>
    </row>
    <row r="29" spans="2:12" ht="15.75" customHeight="1">
      <c r="B29" s="183" t="str">
        <f>IF('[2]Ist'!B50="","",'[2]Ist'!B50)</f>
        <v>Ausgleichszulage</v>
      </c>
      <c r="C29" s="197"/>
      <c r="D29" s="197"/>
      <c r="E29" s="202">
        <f>IF('[2]Ist'!G50="","",'[2]Ist'!G50)</f>
        <v>2850</v>
      </c>
      <c r="F29" s="201" t="s">
        <v>173</v>
      </c>
      <c r="G29" s="201"/>
      <c r="H29" s="201"/>
      <c r="I29" s="202" t="str">
        <f>IF(E43="","noch leer",E43)</f>
        <v>noch leer</v>
      </c>
      <c r="J29" s="203"/>
      <c r="K29" s="142"/>
      <c r="L29" s="133"/>
    </row>
    <row r="30" spans="2:12" ht="15.75" customHeight="1">
      <c r="B30" s="183" t="str">
        <f>IF('[2]Ist'!B52="","",'[2]Ist'!B52)</f>
        <v>EBP</v>
      </c>
      <c r="C30" s="197"/>
      <c r="D30" s="197"/>
      <c r="E30" s="202">
        <v>1540</v>
      </c>
      <c r="F30" s="204" t="s">
        <v>174</v>
      </c>
      <c r="G30" s="204"/>
      <c r="H30" s="204"/>
      <c r="I30" s="202">
        <f>IF('[2]Ist'!O43="","",'[2]Ist'!O43)</f>
        <v>-18200</v>
      </c>
      <c r="J30" s="203"/>
      <c r="K30" s="142"/>
      <c r="L30" s="133"/>
    </row>
    <row r="31" spans="2:12" ht="15.75" customHeight="1">
      <c r="B31" s="183" t="str">
        <f>IF('[2]Ist'!B54="","",'[2]Ist'!B54)</f>
        <v>Tierprämien</v>
      </c>
      <c r="C31" s="197"/>
      <c r="D31" s="197"/>
      <c r="E31" s="202">
        <f>IF('[2]Ist'!G54="","",'[2]Ist'!G54)</f>
        <v>1875</v>
      </c>
      <c r="F31" s="204" t="s">
        <v>175</v>
      </c>
      <c r="G31" s="204"/>
      <c r="H31" s="204"/>
      <c r="I31" s="202">
        <f>IF('[2]Ist'!O50="","",'[2]Ist'!O50)</f>
        <v>-452</v>
      </c>
      <c r="J31" s="203"/>
      <c r="K31" s="142"/>
      <c r="L31" s="133"/>
    </row>
    <row r="32" spans="2:12" ht="15.75" customHeight="1">
      <c r="B32" s="183" t="str">
        <f>IF('[2]Ist'!B56="","",'[2]Ist'!B56)</f>
        <v>ÖPUL</v>
      </c>
      <c r="C32" s="197"/>
      <c r="D32" s="197"/>
      <c r="E32" s="202">
        <f>IF('[2]Ist'!G56="","",'[2]Ist'!G56)</f>
        <v>1500</v>
      </c>
      <c r="F32" s="205" t="s">
        <v>176</v>
      </c>
      <c r="G32" s="205"/>
      <c r="H32" s="205"/>
      <c r="I32" s="228">
        <f>SUM(I29:I31)</f>
        <v>-18652</v>
      </c>
      <c r="K32" s="130"/>
      <c r="L32" s="133"/>
    </row>
    <row r="33" spans="2:12" ht="15.75" customHeight="1">
      <c r="B33" s="183">
        <f>IF('[2]Ist'!B58="","",'[2]Ist'!B58)</f>
      </c>
      <c r="C33" s="197"/>
      <c r="D33" s="197"/>
      <c r="E33" s="202">
        <f>IF('[2]Ist'!G58="","",'[2]Ist'!G58)</f>
      </c>
      <c r="F33" s="1071" t="s">
        <v>177</v>
      </c>
      <c r="G33" s="1072"/>
      <c r="H33" s="1073"/>
      <c r="I33" s="1069">
        <f>IF('[2]Ist'!O66="","",'[2]Ist'!O66)</f>
        <v>540</v>
      </c>
      <c r="K33" s="130"/>
      <c r="L33" s="133"/>
    </row>
    <row r="34" spans="2:12" ht="15.75" customHeight="1" thickBot="1">
      <c r="B34" s="183">
        <f>IF('[2]Ist'!B60="","",'[2]Ist'!B60)</f>
      </c>
      <c r="C34" s="197"/>
      <c r="D34" s="197"/>
      <c r="E34" s="202">
        <f>IF('[2]Ist'!G60="","",'[2]Ist'!G60)</f>
      </c>
      <c r="F34" s="1071"/>
      <c r="G34" s="1072"/>
      <c r="H34" s="1073"/>
      <c r="I34" s="1070"/>
      <c r="K34" s="130"/>
      <c r="L34" s="133"/>
    </row>
    <row r="35" spans="2:12" ht="15.75" customHeight="1" thickBot="1">
      <c r="B35" s="193" t="s">
        <v>178</v>
      </c>
      <c r="C35" s="193"/>
      <c r="D35" s="193"/>
      <c r="E35" s="566"/>
      <c r="F35" s="206" t="s">
        <v>172</v>
      </c>
      <c r="G35" s="207"/>
      <c r="H35" s="207"/>
      <c r="I35" s="910">
        <f>SUM(I32:I34)</f>
        <v>-18112</v>
      </c>
      <c r="K35" s="130"/>
      <c r="L35" s="133"/>
    </row>
    <row r="36" spans="6:12" ht="15.75" customHeight="1">
      <c r="F36" s="209"/>
      <c r="K36" s="130"/>
      <c r="L36" s="133"/>
    </row>
    <row r="37" spans="2:12" ht="15.75" customHeight="1">
      <c r="B37" s="193" t="s">
        <v>179</v>
      </c>
      <c r="C37" s="193"/>
      <c r="D37" s="193"/>
      <c r="E37" s="909">
        <f>SUM(E20,E26,E35)</f>
        <v>0</v>
      </c>
      <c r="K37" s="130"/>
      <c r="L37" s="133"/>
    </row>
    <row r="38" spans="2:12" ht="15.75" customHeight="1" thickBot="1">
      <c r="B38" s="210" t="s">
        <v>180</v>
      </c>
      <c r="C38" s="211"/>
      <c r="D38" s="211"/>
      <c r="E38" s="227" t="str">
        <f>IF('FK'!D18="","noch leer",'FK'!D18)</f>
        <v>noch leer</v>
      </c>
      <c r="K38" s="130"/>
      <c r="L38" s="133"/>
    </row>
    <row r="39" spans="2:12" ht="15.75" customHeight="1" thickBot="1">
      <c r="B39" s="1074" t="s">
        <v>181</v>
      </c>
      <c r="C39" s="1074"/>
      <c r="D39" s="1075"/>
      <c r="E39" s="213"/>
      <c r="K39" s="130"/>
      <c r="L39" s="133"/>
    </row>
    <row r="40" spans="2:12" ht="15.75" customHeight="1" thickBot="1">
      <c r="B40" s="1076" t="s">
        <v>523</v>
      </c>
      <c r="C40" s="1074"/>
      <c r="D40" s="1075"/>
      <c r="E40" s="988"/>
      <c r="K40" s="130"/>
      <c r="L40" s="133"/>
    </row>
    <row r="41" spans="2:12" ht="15.75" customHeight="1">
      <c r="B41" s="183" t="s">
        <v>182</v>
      </c>
      <c r="C41" s="214"/>
      <c r="D41" s="214"/>
      <c r="E41" s="202">
        <f>IF('[2]Ist'!G66="","",'[2]Ist'!G66)</f>
        <v>5800</v>
      </c>
      <c r="K41" s="130"/>
      <c r="L41" s="133"/>
    </row>
    <row r="42" spans="2:12" ht="15.75" customHeight="1" thickBot="1">
      <c r="B42" s="183" t="s">
        <v>183</v>
      </c>
      <c r="C42" s="214"/>
      <c r="D42" s="214"/>
      <c r="E42" s="212">
        <f>IF('[2]Ist'!G68="","",'[2]Ist'!G68)</f>
        <v>18250</v>
      </c>
      <c r="K42" s="130"/>
      <c r="L42" s="133"/>
    </row>
    <row r="43" spans="2:12" ht="15.75" customHeight="1" thickBot="1">
      <c r="B43" s="1064" t="s">
        <v>184</v>
      </c>
      <c r="C43" s="1064"/>
      <c r="D43" s="1064"/>
      <c r="E43" s="208"/>
      <c r="K43" s="130"/>
      <c r="L43" s="133"/>
    </row>
    <row r="44" spans="11:12" ht="15.75" customHeight="1">
      <c r="K44" s="130"/>
      <c r="L44" s="133"/>
    </row>
  </sheetData>
  <sheetProtection sheet="1" objects="1" scenarios="1"/>
  <mergeCells count="15">
    <mergeCell ref="L1:L2"/>
    <mergeCell ref="C3:C5"/>
    <mergeCell ref="D3:E4"/>
    <mergeCell ref="B3:B5"/>
    <mergeCell ref="F3:G4"/>
    <mergeCell ref="H3:I4"/>
    <mergeCell ref="I33:I34"/>
    <mergeCell ref="B43:D43"/>
    <mergeCell ref="F33:H34"/>
    <mergeCell ref="B39:D39"/>
    <mergeCell ref="B40:D40"/>
    <mergeCell ref="F23:F25"/>
    <mergeCell ref="H23:H25"/>
    <mergeCell ref="G23:G25"/>
    <mergeCell ref="I23:I25"/>
  </mergeCells>
  <conditionalFormatting sqref="E39:E40">
    <cfRule type="expression" priority="2" dxfId="111" stopIfTrue="1">
      <formula>$B39=""</formula>
    </cfRule>
  </conditionalFormatting>
  <conditionalFormatting sqref="I23:I25 G23:G25">
    <cfRule type="expression" priority="3" dxfId="111" stopIfTrue="1">
      <formula>F$23=""</formula>
    </cfRule>
  </conditionalFormatting>
  <conditionalFormatting sqref="I13:I15 E13:E15 E6:E10 I6:I10">
    <cfRule type="expression" priority="4" dxfId="23" stopIfTrue="1">
      <formula>D6=""</formula>
    </cfRule>
  </conditionalFormatting>
  <conditionalFormatting sqref="G6:G10 G13">
    <cfRule type="expression" priority="5" dxfId="23" stopIfTrue="1">
      <formula>AND(B6="",F6="")</formula>
    </cfRule>
    <cfRule type="expression" priority="6" dxfId="197" stopIfTrue="1">
      <formula>F6=""</formula>
    </cfRule>
  </conditionalFormatting>
  <conditionalFormatting sqref="H6:H10 I33:I34 C6:D10 I30:I31 E23 F6:F10 E41:E42 E29:E32 F13:F15 C13:D15 H13:H15">
    <cfRule type="cellIs" priority="7" dxfId="111" operator="equal" stopIfTrue="1">
      <formula>""</formula>
    </cfRule>
  </conditionalFormatting>
  <conditionalFormatting sqref="I29 E38">
    <cfRule type="cellIs" priority="8" dxfId="111" operator="equal" stopIfTrue="1">
      <formula>""</formula>
    </cfRule>
    <cfRule type="cellIs" priority="9" dxfId="1" operator="equal" stopIfTrue="1">
      <formula>"noch leer"</formula>
    </cfRule>
  </conditionalFormatting>
  <conditionalFormatting sqref="G14:G15">
    <cfRule type="expression" priority="1" dxfId="23" stopIfTrue="1">
      <formula>F14=""</formula>
    </cfRule>
  </conditionalFormatting>
  <dataValidations count="2">
    <dataValidation type="whole" operator="lessThan" allowBlank="1" showInputMessage="1" showErrorMessage="1" errorTitle="FEHLER" error="Achtung: Dieser Wert muss negativ sein!" sqref="I30">
      <formula1>0</formula1>
    </dataValidation>
    <dataValidation type="whole" operator="lessThan" allowBlank="1" showInputMessage="1" showErrorMessage="1" errorTitle="FEHLER" error="Achtung Diesert Wert muss negativ sein!" sqref="I31">
      <formula1>0</formula1>
    </dataValidation>
  </dataValidations>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rowBreaks count="2" manualBreakCount="2">
    <brk id="45" max="255" man="1"/>
    <brk id="86" max="255"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10"/>
  </sheetPr>
  <dimension ref="A1:K193"/>
  <sheetViews>
    <sheetView showGridLines="0" zoomScalePageLayoutView="0" workbookViewId="0" topLeftCell="A1">
      <pane ySplit="2" topLeftCell="A3" activePane="bottomLeft" state="frozen"/>
      <selection pane="topLeft" activeCell="E12" sqref="E12:M18"/>
      <selection pane="bottomLeft" activeCell="F42" sqref="F42"/>
    </sheetView>
  </sheetViews>
  <sheetFormatPr defaultColWidth="0" defaultRowHeight="0" customHeight="1" zeroHeight="1"/>
  <cols>
    <col min="1" max="1" width="2.7109375" style="145" customWidth="1"/>
    <col min="2" max="2" width="24.7109375" style="145" customWidth="1"/>
    <col min="3" max="6" width="9.7109375" style="145" customWidth="1"/>
    <col min="7" max="7" width="10.7109375" style="145" customWidth="1"/>
    <col min="8" max="8" width="9.7109375" style="145" customWidth="1"/>
    <col min="9" max="9" width="2.7109375" style="145" customWidth="1"/>
    <col min="10" max="10" width="0.85546875" style="145" customWidth="1"/>
    <col min="11" max="11" width="20.7109375" style="145" customWidth="1"/>
    <col min="12" max="16384" width="11.421875" style="145" hidden="1" customWidth="1"/>
  </cols>
  <sheetData>
    <row r="1" spans="1:11" ht="24.75" customHeight="1">
      <c r="A1" s="180"/>
      <c r="B1" s="1135" t="s">
        <v>239</v>
      </c>
      <c r="C1" s="1136"/>
      <c r="D1" s="1136"/>
      <c r="E1" s="1136"/>
      <c r="F1" s="1136"/>
      <c r="G1" s="1136"/>
      <c r="H1" s="1136"/>
      <c r="I1" s="1136"/>
      <c r="J1" s="708"/>
      <c r="K1" s="1043" t="s">
        <v>100</v>
      </c>
    </row>
    <row r="2" spans="10:11" ht="19.5" customHeight="1">
      <c r="J2" s="708"/>
      <c r="K2" s="1044"/>
    </row>
    <row r="3" spans="2:11" ht="12.75">
      <c r="B3" s="1128" t="s">
        <v>240</v>
      </c>
      <c r="C3" s="1128"/>
      <c r="D3" s="1128"/>
      <c r="E3" s="1128"/>
      <c r="F3" s="1128"/>
      <c r="G3" s="1128"/>
      <c r="H3" s="1128"/>
      <c r="J3" s="708"/>
      <c r="K3" s="266"/>
    </row>
    <row r="4" spans="2:11" ht="12.75">
      <c r="B4" s="267" t="str">
        <f>IF('[2]Milch'!B12="","",'[2]Milch'!B12)</f>
        <v>Durchschnittliche Anzahl der Laktationen</v>
      </c>
      <c r="C4" s="267"/>
      <c r="D4" s="268">
        <f>IF('[2]Milch'!O12="","",'[2]Milch'!O12)</f>
        <v>6</v>
      </c>
      <c r="E4" s="1129" t="s">
        <v>241</v>
      </c>
      <c r="F4" s="1129"/>
      <c r="G4" s="1129"/>
      <c r="H4" s="1129"/>
      <c r="J4" s="708"/>
      <c r="K4" s="266"/>
    </row>
    <row r="5" spans="2:11" ht="12.75">
      <c r="B5" s="267" t="str">
        <f>IF('[2]Milch'!B14="","",'[2]Milch'!B14)</f>
        <v>Milchleistung</v>
      </c>
      <c r="C5" s="267"/>
      <c r="D5" s="270">
        <f>IF('[2]Milch'!O14="","",'[2]Milch'!O14)</f>
        <v>4600</v>
      </c>
      <c r="E5" s="271" t="s">
        <v>502</v>
      </c>
      <c r="F5" s="271"/>
      <c r="G5" s="272">
        <f>IF(D6="","",POWER(D6,0.75)*0.293)</f>
        <v>35.52066257221502</v>
      </c>
      <c r="H5" s="273">
        <f>IF(D6="","",POWER(D6,0.75)*3.9)</f>
        <v>472.8006280943296</v>
      </c>
      <c r="J5" s="708"/>
      <c r="K5" s="266"/>
    </row>
    <row r="6" spans="2:11" ht="12.75">
      <c r="B6" s="267" t="str">
        <f>IF('[2]Milch'!B16="","",'[2]Milch'!B16)</f>
        <v>Lebendgewicht</v>
      </c>
      <c r="C6" s="267"/>
      <c r="D6" s="268">
        <f>IF('[2]Milch'!O16="","",'[2]Milch'!O16)</f>
        <v>600</v>
      </c>
      <c r="E6" s="271" t="s">
        <v>503</v>
      </c>
      <c r="F6" s="271"/>
      <c r="G6" s="272">
        <f>IF(OR(D13="",D15="",D16=""),"",(D15*0.37+D16*0.21+0.95)*D13/360)</f>
        <v>12.419233333333333</v>
      </c>
      <c r="H6" s="273">
        <f>IF(OR(D13="",D16=""),"",(D16*1.984*10+10)*(D13/360))</f>
        <v>136.39715555555557</v>
      </c>
      <c r="J6" s="708"/>
      <c r="K6" s="266"/>
    </row>
    <row r="7" spans="2:11" ht="12.75">
      <c r="B7" s="267" t="str">
        <f>IF('[2]Milch'!B18="","",'[2]Milch'!B18)</f>
        <v>Stallhaltungstage</v>
      </c>
      <c r="C7" s="274"/>
      <c r="D7" s="268">
        <f>IF('[2]Milch'!O18="","",'[2]Milch'!O18)</f>
        <v>310</v>
      </c>
      <c r="E7" s="271" t="s">
        <v>242</v>
      </c>
      <c r="F7" s="271"/>
      <c r="G7" s="272">
        <f>SUM(G5:G6)</f>
        <v>47.939895905548354</v>
      </c>
      <c r="H7" s="273">
        <f>SUM(H5:H6)</f>
        <v>609.1977836498852</v>
      </c>
      <c r="J7" s="708"/>
      <c r="K7" s="266"/>
    </row>
    <row r="8" spans="2:11" ht="12.75">
      <c r="B8" s="275"/>
      <c r="C8" s="276" t="s">
        <v>243</v>
      </c>
      <c r="D8" s="276" t="s">
        <v>244</v>
      </c>
      <c r="E8" s="277" t="s">
        <v>245</v>
      </c>
      <c r="F8" s="271"/>
      <c r="G8" s="278">
        <f>IF(OR(G7="",D7=""),"",G7*D7)</f>
        <v>14861.36773071999</v>
      </c>
      <c r="H8" s="279">
        <f>IF(OR(H7="",D7=""),"",H7*D7/1000)</f>
        <v>188.8513129314644</v>
      </c>
      <c r="J8" s="708"/>
      <c r="K8" s="266"/>
    </row>
    <row r="9" spans="2:11" ht="12.75">
      <c r="B9" s="267" t="str">
        <f>IF('[2]Milch'!B20="","",'[2]Milch'!B20)</f>
        <v>A-Quote:</v>
      </c>
      <c r="C9" s="270">
        <f>IF('[2]Milch'!O20="","",'[2]Milch'!O20)</f>
        <v>3500</v>
      </c>
      <c r="D9" s="280">
        <f>IF(OR(C9="",C11=""),"",C9/C11)</f>
        <v>875</v>
      </c>
      <c r="E9" s="271" t="str">
        <f>IF('[2]Milch'!G12="","",'[2]Milch'!G12)</f>
        <v>Kraftfutterbedarf</v>
      </c>
      <c r="F9" s="271"/>
      <c r="G9" s="271"/>
      <c r="H9" s="281">
        <f>IF('[2]Milch'!R12="","",'[2]Milch'!R12)</f>
        <v>1010</v>
      </c>
      <c r="J9" s="708"/>
      <c r="K9" s="266"/>
    </row>
    <row r="10" spans="2:11" ht="12.75">
      <c r="B10" s="267" t="str">
        <f>IF('[2]Milch'!B22="","",'[2]Milch'!B22)</f>
        <v>D-Quote</v>
      </c>
      <c r="C10" s="270">
        <f>IF('[2]Milch'!O22="","",'[2]Milch'!O22)</f>
        <v>12000</v>
      </c>
      <c r="D10" s="280">
        <f>IF(OR(C10="",C11=""),"",C10/C11)</f>
        <v>3000</v>
      </c>
      <c r="E10" s="282" t="s">
        <v>246</v>
      </c>
      <c r="F10" s="282"/>
      <c r="G10" s="283" t="str">
        <f>IF('[2]Milch'!G16="","",'[2]Milch'!G16)</f>
        <v>MJ NEL/kg</v>
      </c>
      <c r="H10" s="283" t="str">
        <f>IF('[2]Milch'!G18="","",'[2]Milch'!G18)</f>
        <v>g RP/kg</v>
      </c>
      <c r="J10" s="708"/>
      <c r="K10" s="266"/>
    </row>
    <row r="11" spans="2:11" ht="12.75">
      <c r="B11" s="267" t="str">
        <f>IF('[2]Milch'!B24="","",'[2]Milch'!B24)</f>
        <v>Ø Anzahl der Kühe</v>
      </c>
      <c r="C11" s="270">
        <f>IF('[2]Milch'!O24="","",'[2]Milch'!O24)</f>
        <v>4</v>
      </c>
      <c r="D11" s="284"/>
      <c r="E11" s="285" t="s">
        <v>247</v>
      </c>
      <c r="F11" s="285"/>
      <c r="G11" s="286">
        <f>IF('[2]Milch'!R16="","",'[2]Milch'!R16)</f>
        <v>6.8</v>
      </c>
      <c r="H11" s="287">
        <f>IF('[2]Milch'!R18="","",'[2]Milch'!R18)</f>
        <v>130</v>
      </c>
      <c r="J11" s="708"/>
      <c r="K11" s="266"/>
    </row>
    <row r="12" spans="2:11" ht="12.75" customHeight="1">
      <c r="B12" s="288" t="s">
        <v>248</v>
      </c>
      <c r="C12" s="283" t="s">
        <v>243</v>
      </c>
      <c r="D12" s="283" t="s">
        <v>244</v>
      </c>
      <c r="E12" s="1072" t="s">
        <v>249</v>
      </c>
      <c r="F12" s="1130">
        <f>D5-H12</f>
        <v>2858.620689655172</v>
      </c>
      <c r="G12" s="1133" t="s">
        <v>250</v>
      </c>
      <c r="H12" s="1130">
        <f>H9/H15</f>
        <v>1741.3793103448277</v>
      </c>
      <c r="J12" s="708"/>
      <c r="K12" s="266"/>
    </row>
    <row r="13" spans="2:11" ht="11.25" customHeight="1">
      <c r="B13" s="289" t="s">
        <v>251</v>
      </c>
      <c r="C13" s="279">
        <f>IF(OR(D13="",C11=""),"",D13*C11)</f>
        <v>18400</v>
      </c>
      <c r="D13" s="279">
        <f>D5</f>
        <v>4600</v>
      </c>
      <c r="E13" s="1072"/>
      <c r="F13" s="1131"/>
      <c r="G13" s="1134"/>
      <c r="H13" s="1131"/>
      <c r="J13" s="708"/>
      <c r="K13" s="266"/>
    </row>
    <row r="14" spans="2:11" ht="13.5" customHeight="1">
      <c r="B14" s="282" t="s">
        <v>252</v>
      </c>
      <c r="C14" s="282" t="s">
        <v>243</v>
      </c>
      <c r="D14" s="282" t="s">
        <v>244</v>
      </c>
      <c r="E14" s="1072"/>
      <c r="F14" s="1132"/>
      <c r="G14" s="1134"/>
      <c r="H14" s="1132"/>
      <c r="J14" s="708"/>
      <c r="K14" s="266"/>
    </row>
    <row r="15" spans="2:11" ht="12.75">
      <c r="B15" s="267" t="str">
        <f>IF('[2]Milch'!B26="","",'[2]Milch'!B26)</f>
        <v>Fett</v>
      </c>
      <c r="C15" s="267"/>
      <c r="D15" s="290">
        <f>IF('[2]Milch'!O26="","",'[2]Milch'!O26)</f>
        <v>0.04</v>
      </c>
      <c r="E15" s="1072" t="str">
        <f>IF('[2]Milch'!G20="","",'[2]Milch'!G20)</f>
        <v>Umwandlungsschlüssel</v>
      </c>
      <c r="F15" s="1125"/>
      <c r="G15" s="1125"/>
      <c r="H15" s="1126">
        <f>IF('[2]Milch'!R20="","",'[2]Milch'!R20)</f>
        <v>0.58</v>
      </c>
      <c r="J15" s="708"/>
      <c r="K15" s="266"/>
    </row>
    <row r="16" spans="2:11" ht="12.75">
      <c r="B16" s="267" t="str">
        <f>IF('[2]Milch'!B28="","",'[2]Milch'!B28)</f>
        <v>Eiweiß</v>
      </c>
      <c r="C16" s="267"/>
      <c r="D16" s="290">
        <f>IF('[2]Milch'!O28="","",'[2]Milch'!O28)</f>
        <v>0.034</v>
      </c>
      <c r="E16" s="1125"/>
      <c r="F16" s="1125"/>
      <c r="G16" s="1125"/>
      <c r="H16" s="1127"/>
      <c r="J16" s="708"/>
      <c r="K16" s="266"/>
    </row>
    <row r="17" spans="10:11" ht="12.75">
      <c r="J17" s="708"/>
      <c r="K17" s="266"/>
    </row>
    <row r="18" spans="2:11" ht="12.75">
      <c r="B18" s="1087" t="s">
        <v>253</v>
      </c>
      <c r="C18" s="1087"/>
      <c r="D18" s="1087"/>
      <c r="E18" s="1087"/>
      <c r="F18" s="1087"/>
      <c r="G18" s="1087"/>
      <c r="H18" s="1087"/>
      <c r="J18" s="708"/>
      <c r="K18" s="266"/>
    </row>
    <row r="19" spans="2:11" ht="12.75">
      <c r="B19" s="289" t="s">
        <v>254</v>
      </c>
      <c r="C19" s="291">
        <f>D9</f>
        <v>875</v>
      </c>
      <c r="D19" s="284"/>
      <c r="G19" s="284"/>
      <c r="H19" s="284"/>
      <c r="J19" s="708"/>
      <c r="K19" s="266"/>
    </row>
    <row r="20" spans="2:11" ht="12.75">
      <c r="B20" s="289" t="str">
        <f>IF('[2]Milch'!B33="","",'[2]Milch'!B33)</f>
        <v>Ab-Hof</v>
      </c>
      <c r="C20" s="292">
        <f>IF('[2]Milch'!O33="","",'[2]Milch'!O33)</f>
        <v>450</v>
      </c>
      <c r="D20" s="284"/>
      <c r="E20" s="293" t="s">
        <v>255</v>
      </c>
      <c r="F20" s="294">
        <f>IF(SUM(C19:C21,C25:C28,C29:C30,C32)=0,"",SUM(C19:C21,C25:C28,C29:C30,C32))</f>
        <v>4600</v>
      </c>
      <c r="G20" s="284"/>
      <c r="H20" s="284"/>
      <c r="J20" s="708"/>
      <c r="K20" s="266"/>
    </row>
    <row r="21" spans="2:11" ht="12.75">
      <c r="B21" s="289" t="str">
        <f>IF('[2]Milch'!B35="","",'[2]Milch'!B35)</f>
        <v>Eigen- u. Gästeverbrauch</v>
      </c>
      <c r="C21" s="292">
        <f>IF('[2]Milch'!O35="","",'[2]Milch'!O35)</f>
        <v>120</v>
      </c>
      <c r="D21" s="284"/>
      <c r="E21" s="284"/>
      <c r="F21" s="284"/>
      <c r="G21" s="284"/>
      <c r="H21" s="284"/>
      <c r="J21" s="708"/>
      <c r="K21" s="266"/>
    </row>
    <row r="22" spans="2:11" ht="13.5" customHeight="1">
      <c r="B22" s="1121" t="s">
        <v>256</v>
      </c>
      <c r="C22" s="1121"/>
      <c r="D22" s="1121"/>
      <c r="E22" s="1121"/>
      <c r="F22" s="1121"/>
      <c r="G22" s="1121"/>
      <c r="H22" s="1121"/>
      <c r="J22" s="708"/>
      <c r="K22" s="266"/>
    </row>
    <row r="23" spans="2:11" ht="13.5" customHeight="1">
      <c r="B23" s="1122"/>
      <c r="C23" s="1123" t="s">
        <v>257</v>
      </c>
      <c r="D23" s="1124" t="s">
        <v>258</v>
      </c>
      <c r="E23" s="1124" t="s">
        <v>259</v>
      </c>
      <c r="F23" s="1123" t="s">
        <v>260</v>
      </c>
      <c r="G23" s="1123" t="s">
        <v>261</v>
      </c>
      <c r="H23" s="1124" t="s">
        <v>262</v>
      </c>
      <c r="J23" s="708"/>
      <c r="K23" s="266"/>
    </row>
    <row r="24" spans="2:11" ht="13.5" customHeight="1">
      <c r="B24" s="1122"/>
      <c r="C24" s="1124"/>
      <c r="D24" s="1124"/>
      <c r="E24" s="1124"/>
      <c r="F24" s="1124"/>
      <c r="G24" s="1124"/>
      <c r="H24" s="1124"/>
      <c r="J24" s="708"/>
      <c r="K24" s="266"/>
    </row>
    <row r="25" spans="2:11" ht="12.75">
      <c r="B25" s="289" t="str">
        <f>IF('[2]Milch'!B39="","",'[2]Milch'!B39)</f>
        <v>Butter</v>
      </c>
      <c r="C25" s="279">
        <f>IF(SUM(D25:E25)=0,"",SUM(D25:E25)*G25)</f>
        <v>713</v>
      </c>
      <c r="D25" s="295">
        <f>IF('[2]Milch'!O39="","",'[2]Milch'!O39)</f>
        <v>20</v>
      </c>
      <c r="E25" s="292">
        <f>IF('[2]Milch'!P39="","",'[2]Milch'!P39)</f>
        <v>11</v>
      </c>
      <c r="F25" s="296">
        <f>IF('[2]Milch'!Q39="","",'[2]Milch'!Q39)</f>
        <v>3</v>
      </c>
      <c r="G25" s="292">
        <f>IF('[2]Milch'!K39="","",'[2]Milch'!K39)</f>
        <v>23</v>
      </c>
      <c r="H25" s="297">
        <f>IF(OR(D25="",G25=""),0,(D25*G25)-(D25*G25)/7.5)</f>
        <v>398.6666666666667</v>
      </c>
      <c r="I25" s="298"/>
      <c r="J25" s="708"/>
      <c r="K25" s="266"/>
    </row>
    <row r="26" spans="2:11" ht="12.75">
      <c r="B26" s="289" t="str">
        <f>IF('[2]Milch'!B41="","",'[2]Milch'!B41)</f>
        <v>Jogurt</v>
      </c>
      <c r="C26" s="279">
        <f>IF(SUM(D26:E26)=0,"",SUM(D26:E26)*G26)</f>
        <v>360</v>
      </c>
      <c r="D26" s="295">
        <f>IF('[2]Milch'!O41="","",'[2]Milch'!O41)</f>
        <v>360</v>
      </c>
      <c r="E26" s="291">
        <f>IF('[2]Milch'!P41="","",'[2]Milch'!P41)</f>
      </c>
      <c r="F26" s="296">
        <f>IF('[2]Milch'!Q41="","",'[2]Milch'!Q41)</f>
        <v>4.5</v>
      </c>
      <c r="G26" s="292">
        <f>IF('[2]Milch'!K41="","",'[2]Milch'!K41)</f>
        <v>1</v>
      </c>
      <c r="H26" s="299"/>
      <c r="I26" s="298"/>
      <c r="J26" s="708"/>
      <c r="K26" s="266"/>
    </row>
    <row r="27" spans="2:11" ht="12.75">
      <c r="B27" s="289" t="str">
        <f>IF('[2]Milch'!B43="","",'[2]Milch'!B43)</f>
        <v>Topfen aus Vollmilch</v>
      </c>
      <c r="C27" s="279">
        <f>IF(SUM(D27:E27)=0,"",SUM(D27:E27)*G27)</f>
        <v>640</v>
      </c>
      <c r="D27" s="295">
        <f>IF('[2]Milch'!O43="","",'[2]Milch'!O43)</f>
        <v>80</v>
      </c>
      <c r="E27" s="291">
        <f>IF('[2]Milch'!P43="","",'[2]Milch'!P43)</f>
      </c>
      <c r="F27" s="296">
        <f>IF('[2]Milch'!Q43="","",'[2]Milch'!Q43)</f>
        <v>4.5</v>
      </c>
      <c r="G27" s="292">
        <f>IF('[2]Milch'!K43="","",'[2]Milch'!K43)</f>
        <v>8</v>
      </c>
      <c r="H27" s="299"/>
      <c r="I27" s="298"/>
      <c r="J27" s="708"/>
      <c r="K27" s="266"/>
    </row>
    <row r="28" spans="2:11" ht="12.75">
      <c r="B28" s="289" t="str">
        <f>IF('[2]Milch'!B45="","",'[2]Milch'!B45)</f>
        <v>Käse</v>
      </c>
      <c r="C28" s="279">
        <f>IF(B28="Graukäse",H24*70%,IF(SUM(D28:E28)=0,"",SUM(D28:E28)*G28))</f>
        <v>127.5</v>
      </c>
      <c r="D28" s="295">
        <f>IF(B28="Graukäse",C28/G28,IF('[2]Milch'!O46="","",'[2]Milch'!O46))</f>
      </c>
      <c r="E28" s="292">
        <f>IF('[2]Milch'!P45="","",'[2]Milch'!P45)</f>
        <v>15</v>
      </c>
      <c r="F28" s="296">
        <f>IF('[2]Milch'!Q45="","",'[2]Milch'!Q45)</f>
        <v>2.75</v>
      </c>
      <c r="G28" s="292">
        <f>IF('[2]Milch'!K45="","",'[2]Milch'!K45)</f>
        <v>8.5</v>
      </c>
      <c r="H28" s="299"/>
      <c r="I28" s="298"/>
      <c r="J28" s="708"/>
      <c r="K28" s="266"/>
    </row>
    <row r="29" spans="2:11" ht="12.75">
      <c r="B29" s="289">
        <f>IF('[2]Milch'!B47="","",'[2]Milch'!B47)</f>
      </c>
      <c r="C29" s="709">
        <f>IF(B29="Graukäse",H25*70%,IF(SUM(D29:E29)=0,"",SUM(D29:E29)*G29))</f>
      </c>
      <c r="D29" s="295">
        <f>IF(B29="Graukäse",C29/G29,IF('[2]Milch'!O47="","",'[2]Milch'!O47))</f>
      </c>
      <c r="E29" s="291">
        <f>IF('[2]Milch'!P47="","",'[2]Milch'!P47)</f>
      </c>
      <c r="F29" s="296">
        <f>IF('[2]Milch'!Q47="","",'[2]Milch'!Q47)</f>
      </c>
      <c r="G29" s="292">
        <f>IF('[2]Milch'!K47="","",'[2]Milch'!K47)</f>
      </c>
      <c r="H29" s="299"/>
      <c r="I29" s="298"/>
      <c r="J29" s="708"/>
      <c r="K29" s="266"/>
    </row>
    <row r="30" spans="2:11" ht="12.75">
      <c r="B30" s="289">
        <f>IF('[2]Milch'!B49="","",'[2]Milch'!B49)</f>
      </c>
      <c r="C30" s="709">
        <f>IF(B30="Graukäse",H26*70%,IF(SUM(D30:E30)=0,"",SUM(D30:E30)*G30))</f>
      </c>
      <c r="D30" s="300">
        <f>IF(B30="Graukäse",C30/G30,IF('[2]Milch'!O48="","",'[2]Milch'!O48))</f>
      </c>
      <c r="E30" s="291">
        <f>IF('[2]Milch'!P49="","",'[2]Milch'!P49)</f>
      </c>
      <c r="F30" s="301">
        <f>IF('[2]Milch'!Q49="","",'[2]Milch'!Q49)</f>
      </c>
      <c r="G30" s="302">
        <f>IF('[2]Milch'!K49="","",'[2]Milch'!K49)</f>
      </c>
      <c r="H30" s="303"/>
      <c r="J30" s="708"/>
      <c r="K30" s="266"/>
    </row>
    <row r="31" spans="2:11" ht="12.75">
      <c r="B31" s="1087" t="s">
        <v>263</v>
      </c>
      <c r="C31" s="1087"/>
      <c r="D31" s="1087"/>
      <c r="E31" s="1087"/>
      <c r="F31" s="1087"/>
      <c r="G31" s="1087"/>
      <c r="H31" s="1087"/>
      <c r="J31" s="708"/>
      <c r="K31" s="266"/>
    </row>
    <row r="32" spans="2:11" ht="12.75">
      <c r="B32" s="289" t="s">
        <v>264</v>
      </c>
      <c r="C32" s="297">
        <f>IF(D13="","",D13-SUM(C19:C21,C25:C28,C29:C30))</f>
        <v>1314.5</v>
      </c>
      <c r="D32" s="284"/>
      <c r="E32" s="284"/>
      <c r="F32" s="284"/>
      <c r="G32" s="233"/>
      <c r="H32" s="284"/>
      <c r="J32" s="708"/>
      <c r="K32" s="266"/>
    </row>
    <row r="33" spans="2:11" ht="12.75">
      <c r="B33" s="289" t="s">
        <v>262</v>
      </c>
      <c r="C33" s="279">
        <f>H25-IF(B28="Graukäse",C28,IF(B29="Graukäse",C29,IF(B30="Graukäse",C30,0)))</f>
        <v>398.6666666666667</v>
      </c>
      <c r="D33" s="284"/>
      <c r="E33" s="284"/>
      <c r="F33" s="284"/>
      <c r="G33" s="284"/>
      <c r="H33" s="284"/>
      <c r="J33" s="708"/>
      <c r="K33" s="266"/>
    </row>
    <row r="34" spans="10:11" ht="12.75">
      <c r="J34" s="708"/>
      <c r="K34" s="266"/>
    </row>
    <row r="35" spans="2:11" ht="12.75">
      <c r="B35" s="1087" t="s">
        <v>265</v>
      </c>
      <c r="C35" s="1087"/>
      <c r="D35" s="1087"/>
      <c r="E35" s="1087"/>
      <c r="F35" s="1087"/>
      <c r="G35" s="1087"/>
      <c r="H35" s="1087"/>
      <c r="J35" s="708"/>
      <c r="K35" s="266"/>
    </row>
    <row r="36" spans="2:11" ht="12.75">
      <c r="B36" s="1116" t="str">
        <f>IF('[2]Milch'!B59="","",'[2]Milch'!B59)</f>
        <v>Altkuherlös/kg LG</v>
      </c>
      <c r="C36" s="1117"/>
      <c r="D36" s="304">
        <f>IF('[2]Milch'!O59="","",'[2]Milch'!O59)</f>
        <v>0.55</v>
      </c>
      <c r="E36" s="305"/>
      <c r="F36" s="305"/>
      <c r="G36" s="305"/>
      <c r="H36" s="305"/>
      <c r="J36" s="708"/>
      <c r="K36" s="266"/>
    </row>
    <row r="37" spans="2:11" ht="12.75">
      <c r="B37" s="1116" t="str">
        <f>IF('[2]Milch'!B61="","",'[2]Milch'!B61)</f>
        <v>Kälberpreis weiblich</v>
      </c>
      <c r="C37" s="1117"/>
      <c r="D37" s="304">
        <f>IF('[2]Milch'!O61="","",'[2]Milch'!O61)</f>
        <v>395</v>
      </c>
      <c r="E37" s="305" t="str">
        <f>IF('[2]Milch'!$B$63="","",'[2]Milch'!$B$63)</f>
        <v>Abkalbequote</v>
      </c>
      <c r="F37" s="690">
        <f>IF('[2]Milch'!$E$63="","",'[2]Milch'!$E$63)</f>
        <v>0.9</v>
      </c>
      <c r="G37" s="305"/>
      <c r="H37" s="305"/>
      <c r="J37" s="708"/>
      <c r="K37" s="266"/>
    </row>
    <row r="38" spans="2:11" ht="12.75">
      <c r="B38" s="1116" t="str">
        <f>IF('[2]Milch'!G59="","",'[2]Milch'!G59)</f>
        <v>Kälberpreis männlich</v>
      </c>
      <c r="C38" s="1117"/>
      <c r="D38" s="304">
        <f>IF('[2]Milch'!R59="","",'[2]Milch'!R59)</f>
        <v>142</v>
      </c>
      <c r="J38" s="708"/>
      <c r="K38" s="266"/>
    </row>
    <row r="39" spans="2:11" ht="12.75">
      <c r="B39" s="1116" t="str">
        <f>IF('[2]Milch'!G61="","",'[2]Milch'!G61)</f>
        <v>Aufzuchtkosten Rind</v>
      </c>
      <c r="C39" s="1117"/>
      <c r="D39" s="304">
        <f>IF('[2]Milch'!R61="","",'[2]Milch'!R61)</f>
        <v>789</v>
      </c>
      <c r="E39" s="306" t="s">
        <v>266</v>
      </c>
      <c r="F39" s="306"/>
      <c r="G39" s="306"/>
      <c r="H39" s="306"/>
      <c r="J39" s="708"/>
      <c r="K39" s="266"/>
    </row>
    <row r="40" spans="2:11" ht="12.75">
      <c r="B40" s="1087" t="s">
        <v>267</v>
      </c>
      <c r="C40" s="1087"/>
      <c r="D40" s="1087"/>
      <c r="E40" s="1087"/>
      <c r="F40" s="1087"/>
      <c r="G40" s="1087"/>
      <c r="H40" s="1087"/>
      <c r="J40" s="708"/>
      <c r="K40" s="266"/>
    </row>
    <row r="41" spans="2:11" ht="13.5" thickBot="1">
      <c r="B41" s="1084"/>
      <c r="C41" s="1084"/>
      <c r="D41" s="308" t="s">
        <v>268</v>
      </c>
      <c r="E41" s="309" t="s">
        <v>423</v>
      </c>
      <c r="F41" s="309" t="s">
        <v>269</v>
      </c>
      <c r="G41" s="307"/>
      <c r="H41" s="307"/>
      <c r="J41" s="708"/>
      <c r="K41" s="266"/>
    </row>
    <row r="42" spans="2:11" ht="13.5" thickBot="1">
      <c r="B42" s="285" t="str">
        <f>IF('[2]Milch'!B67="","-",'[2]Milch'!B67)</f>
        <v>Molkereigeld</v>
      </c>
      <c r="C42" s="285"/>
      <c r="D42" s="304">
        <f>IF('[2]Milch'!O67="","",'[2]Milch'!O67)</f>
        <v>0.34</v>
      </c>
      <c r="E42" s="777">
        <f>IF(C19="","",C19)</f>
        <v>875</v>
      </c>
      <c r="F42" s="310"/>
      <c r="G42" s="284"/>
      <c r="H42" s="284"/>
      <c r="J42" s="708"/>
      <c r="K42" s="266"/>
    </row>
    <row r="43" spans="2:11" ht="13.5" thickBot="1">
      <c r="B43" s="285" t="str">
        <f>IF('[2]Milch'!B69="","-",'[2]Milch'!B69)</f>
        <v>Ab-Hof</v>
      </c>
      <c r="C43" s="285"/>
      <c r="D43" s="304">
        <f>IF('[2]Milch'!O69="","",'[2]Milch'!O69)</f>
        <v>0.6</v>
      </c>
      <c r="E43" s="777">
        <f>IF(C20="","",C20)</f>
        <v>450</v>
      </c>
      <c r="F43" s="704"/>
      <c r="G43" s="284"/>
      <c r="H43" s="284"/>
      <c r="J43" s="708"/>
      <c r="K43" s="266"/>
    </row>
    <row r="44" spans="2:11" ht="13.5" thickBot="1">
      <c r="B44" s="285" t="str">
        <f>IF('[2]Milch'!B71="","-",'[2]Milch'!B71)</f>
        <v>Eigen- u. Gästeverbrauch</v>
      </c>
      <c r="C44" s="285"/>
      <c r="D44" s="304">
        <f>IF('[2]Milch'!O71="","",'[2]Milch'!O71)</f>
        <v>0.6</v>
      </c>
      <c r="E44" s="777">
        <f>IF(C21="","",C21)</f>
        <v>120</v>
      </c>
      <c r="F44" s="310"/>
      <c r="G44" s="284"/>
      <c r="H44" s="284"/>
      <c r="J44" s="708"/>
      <c r="K44" s="266"/>
    </row>
    <row r="45" spans="2:11" ht="13.5" thickBot="1">
      <c r="B45" s="285" t="str">
        <f>IF('[2]Milch'!B73="","-",'[2]Milch'!B73)</f>
        <v>Butter</v>
      </c>
      <c r="C45" s="285"/>
      <c r="D45" s="304">
        <f>IF('[2]Milch'!O73="","",'[2]Milch'!O73)</f>
        <v>6</v>
      </c>
      <c r="E45" s="778">
        <f aca="true" t="shared" si="0" ref="E45:E50">IF(AND(D25="",E25=""),"",SUM(D25:E25))</f>
        <v>31</v>
      </c>
      <c r="F45" s="310"/>
      <c r="G45" s="284"/>
      <c r="H45" s="284"/>
      <c r="J45" s="708"/>
      <c r="K45" s="266"/>
    </row>
    <row r="46" spans="2:11" ht="13.5" thickBot="1">
      <c r="B46" s="285" t="str">
        <f>IF('[2]Milch'!B75="","-",'[2]Milch'!B75)</f>
        <v>Jogurt</v>
      </c>
      <c r="C46" s="311"/>
      <c r="D46" s="304">
        <f>IF('[2]Milch'!O75="","",'[2]Milch'!O75)</f>
        <v>1.1</v>
      </c>
      <c r="E46" s="778">
        <f t="shared" si="0"/>
        <v>360</v>
      </c>
      <c r="F46" s="310"/>
      <c r="G46" s="284"/>
      <c r="H46" s="284"/>
      <c r="J46" s="708"/>
      <c r="K46" s="266"/>
    </row>
    <row r="47" spans="2:11" ht="13.5" thickBot="1">
      <c r="B47" s="285" t="str">
        <f>IF('[2]Milch'!G67="","-",'[2]Milch'!G67)</f>
        <v>Topfen aus Vollmilch</v>
      </c>
      <c r="C47" s="311"/>
      <c r="D47" s="304">
        <f>IF('[2]Milch'!R67="","",'[2]Milch'!R67)</f>
        <v>2.3</v>
      </c>
      <c r="E47" s="777">
        <f t="shared" si="0"/>
        <v>80</v>
      </c>
      <c r="F47" s="310"/>
      <c r="G47" s="284"/>
      <c r="H47" s="284"/>
      <c r="J47" s="708"/>
      <c r="K47" s="266"/>
    </row>
    <row r="48" spans="2:11" ht="13.5" thickBot="1">
      <c r="B48" s="285" t="str">
        <f>IF('[2]Milch'!G69="","-",'[2]Milch'!G69)</f>
        <v>Käse</v>
      </c>
      <c r="C48" s="285"/>
      <c r="D48" s="304">
        <f>IF('[2]Milch'!R69="","",'[2]Milch'!R69)</f>
        <v>8.6</v>
      </c>
      <c r="E48" s="777">
        <f t="shared" si="0"/>
        <v>15</v>
      </c>
      <c r="F48" s="310"/>
      <c r="G48" s="284"/>
      <c r="H48" s="284"/>
      <c r="J48" s="708"/>
      <c r="K48" s="266"/>
    </row>
    <row r="49" spans="2:11" ht="12.75">
      <c r="B49" s="285" t="str">
        <f>IF('[2]Milch'!G71="","-",'[2]Milch'!G71)</f>
        <v>-</v>
      </c>
      <c r="C49" s="311"/>
      <c r="D49" s="304">
        <f>IF('[2]Milch'!R71="","",'[2]Milch'!R71)</f>
      </c>
      <c r="E49" s="778">
        <f t="shared" si="0"/>
      </c>
      <c r="F49" s="304"/>
      <c r="G49" s="284"/>
      <c r="H49" s="284"/>
      <c r="J49" s="708"/>
      <c r="K49" s="266"/>
    </row>
    <row r="50" spans="2:11" ht="13.5" thickBot="1">
      <c r="B50" s="285" t="str">
        <f>IF('[2]Milch'!G73="","-",'[2]Milch'!G73)</f>
        <v>-</v>
      </c>
      <c r="C50" s="311"/>
      <c r="D50" s="304">
        <f>IF('[2]Milch'!R73="","",'[2]Milch'!R73)</f>
      </c>
      <c r="E50" s="778">
        <f t="shared" si="0"/>
      </c>
      <c r="F50" s="304"/>
      <c r="G50" s="284"/>
      <c r="H50" s="284"/>
      <c r="J50" s="708"/>
      <c r="K50" s="266"/>
    </row>
    <row r="51" spans="2:11" ht="13.5" thickBot="1">
      <c r="B51" s="285" t="str">
        <f>IF('[2]Milch'!G75="","-",'[2]Milch'!G75)</f>
        <v>Magermilch</v>
      </c>
      <c r="C51" s="285"/>
      <c r="D51" s="304">
        <f>IF('[2]Milch'!R75="","",'[2]Milch'!R75)</f>
        <v>0.04</v>
      </c>
      <c r="E51" s="778">
        <f>IF(C33="","",C33)</f>
        <v>398.6666666666667</v>
      </c>
      <c r="F51" s="310"/>
      <c r="G51" s="284"/>
      <c r="H51" s="284"/>
      <c r="J51" s="708"/>
      <c r="K51" s="266"/>
    </row>
    <row r="52" spans="2:11" ht="13.5" thickBot="1">
      <c r="B52" s="1114" t="s">
        <v>270</v>
      </c>
      <c r="C52" s="1115"/>
      <c r="D52" s="312"/>
      <c r="E52" s="312"/>
      <c r="F52" s="313"/>
      <c r="G52" s="312"/>
      <c r="H52" s="312"/>
      <c r="J52" s="708"/>
      <c r="K52" s="266"/>
    </row>
    <row r="53" spans="2:11" ht="12.75">
      <c r="B53" s="289" t="s">
        <v>271</v>
      </c>
      <c r="C53" s="289"/>
      <c r="D53" s="284"/>
      <c r="E53" s="314"/>
      <c r="F53" s="304">
        <f>D6/D4*D36</f>
        <v>55.00000000000001</v>
      </c>
      <c r="G53" s="284"/>
      <c r="H53" s="284"/>
      <c r="J53" s="708"/>
      <c r="K53" s="266"/>
    </row>
    <row r="54" spans="2:11" ht="13.5" thickBot="1">
      <c r="B54" s="289" t="s">
        <v>272</v>
      </c>
      <c r="C54" s="289"/>
      <c r="D54" s="284"/>
      <c r="E54" s="314"/>
      <c r="F54" s="304">
        <f>AVERAGE(D37:D38)*F37</f>
        <v>241.65</v>
      </c>
      <c r="G54" s="284"/>
      <c r="H54" s="284"/>
      <c r="J54" s="708"/>
      <c r="K54" s="266"/>
    </row>
    <row r="55" spans="2:11" ht="13.5" thickBot="1">
      <c r="B55" s="315" t="s">
        <v>273</v>
      </c>
      <c r="C55" s="315"/>
      <c r="D55" s="315"/>
      <c r="E55" s="315"/>
      <c r="F55" s="313"/>
      <c r="G55" s="315"/>
      <c r="H55" s="316">
        <f>IF(F55="","",F55)</f>
      </c>
      <c r="J55" s="708"/>
      <c r="K55" s="266"/>
    </row>
    <row r="56" spans="10:11" ht="12.75">
      <c r="J56" s="708"/>
      <c r="K56" s="266"/>
    </row>
    <row r="57" spans="2:11" ht="12.75" customHeight="1">
      <c r="B57" s="269" t="s">
        <v>274</v>
      </c>
      <c r="C57" s="269"/>
      <c r="D57" s="269"/>
      <c r="E57" s="269"/>
      <c r="F57" s="269"/>
      <c r="G57" s="269"/>
      <c r="H57" s="269"/>
      <c r="J57" s="708"/>
      <c r="K57" s="266"/>
    </row>
    <row r="58" spans="2:11" ht="12.75">
      <c r="B58" s="1087" t="s">
        <v>275</v>
      </c>
      <c r="C58" s="1087"/>
      <c r="D58" s="283" t="s">
        <v>268</v>
      </c>
      <c r="E58" s="283" t="s">
        <v>276</v>
      </c>
      <c r="F58" s="283" t="s">
        <v>269</v>
      </c>
      <c r="G58" s="283"/>
      <c r="H58" s="283"/>
      <c r="J58" s="708"/>
      <c r="K58" s="266"/>
    </row>
    <row r="59" spans="2:11" ht="13.5" thickBot="1">
      <c r="B59" s="1097" t="str">
        <f>IF('[2]Milch'!B81="","",'[2]Milch'!B81)</f>
        <v>Bestandesergänzung</v>
      </c>
      <c r="C59" s="1098"/>
      <c r="D59" s="304">
        <f>IF('[2]Milch'!O81="","",'[2]Milch'!O81)</f>
      </c>
      <c r="E59" s="317"/>
      <c r="F59" s="304">
        <f>D39/D4</f>
        <v>131.5</v>
      </c>
      <c r="G59" s="284"/>
      <c r="H59" s="284"/>
      <c r="J59" s="708"/>
      <c r="K59" s="266"/>
    </row>
    <row r="60" spans="2:11" ht="13.5" thickBot="1">
      <c r="B60" s="1097" t="str">
        <f>IF('[2]Milch'!B83="","",'[2]Milch'!B83)</f>
        <v>KF</v>
      </c>
      <c r="C60" s="1098"/>
      <c r="D60" s="304">
        <f>IF('[2]Milch'!O83="","",'[2]Milch'!O83)</f>
        <v>0.4</v>
      </c>
      <c r="E60" s="317">
        <f>IF('[2]Milch'!P83="","",'[2]Milch'!P83)</f>
        <v>1010</v>
      </c>
      <c r="F60" s="310"/>
      <c r="G60" s="284"/>
      <c r="H60" s="284"/>
      <c r="J60" s="708"/>
      <c r="K60" s="266"/>
    </row>
    <row r="61" spans="2:11" ht="13.5" thickBot="1">
      <c r="B61" s="1097" t="str">
        <f>IF('[2]Milch'!B85="","",'[2]Milch'!B85)</f>
        <v>Mineralstoffmischung</v>
      </c>
      <c r="C61" s="1098"/>
      <c r="D61" s="304">
        <f>IF('[2]Milch'!O85="","",'[2]Milch'!O85)</f>
        <v>0.62</v>
      </c>
      <c r="E61" s="317">
        <f>IF('[2]Milch'!P85="","",'[2]Milch'!P85)</f>
        <v>49</v>
      </c>
      <c r="F61" s="310"/>
      <c r="G61" s="284"/>
      <c r="H61" s="284"/>
      <c r="J61" s="708"/>
      <c r="K61" s="266"/>
    </row>
    <row r="62" spans="2:11" ht="13.5" thickBot="1">
      <c r="B62" s="1097" t="str">
        <f>IF('[2]Milch'!B87="","",'[2]Milch'!B87)</f>
        <v>Tierarzt</v>
      </c>
      <c r="C62" s="1098"/>
      <c r="D62" s="304">
        <f>IF('[2]Milch'!O87="","",'[2]Milch'!O87)</f>
        <v>60</v>
      </c>
      <c r="E62" s="317">
        <f>IF('[2]Milch'!P87="","",'[2]Milch'!P87)</f>
      </c>
      <c r="F62" s="705"/>
      <c r="G62" s="284"/>
      <c r="H62" s="284"/>
      <c r="J62" s="708"/>
      <c r="K62" s="266"/>
    </row>
    <row r="63" spans="2:11" ht="13.5" thickBot="1">
      <c r="B63" s="1097" t="str">
        <f>IF('[2]Milch'!B89="","",'[2]Milch'!B89)</f>
        <v>Deckgeld</v>
      </c>
      <c r="C63" s="1098"/>
      <c r="D63" s="304">
        <f>IF('[2]Milch'!O89="","",'[2]Milch'!O89)</f>
        <v>35</v>
      </c>
      <c r="E63" s="317">
        <f>IF('[2]Milch'!P89="","",'[2]Milch'!P89)</f>
      </c>
      <c r="F63" s="318"/>
      <c r="G63" s="284"/>
      <c r="H63" s="284"/>
      <c r="J63" s="708"/>
      <c r="K63" s="266"/>
    </row>
    <row r="64" spans="2:11" ht="13.5" thickBot="1">
      <c r="B64" s="1097" t="str">
        <f>IF('[2]Milch'!B91="","",'[2]Milch'!B91)</f>
        <v>Kontrollgebühren</v>
      </c>
      <c r="C64" s="1098"/>
      <c r="D64" s="304">
        <f>IF('[2]Milch'!O91="","",'[2]Milch'!O91)</f>
        <v>9</v>
      </c>
      <c r="E64" s="317">
        <f>IF('[2]Milch'!P91="","",'[2]Milch'!P91)</f>
      </c>
      <c r="F64" s="318"/>
      <c r="G64" s="284"/>
      <c r="H64" s="284"/>
      <c r="J64" s="708"/>
      <c r="K64" s="266"/>
    </row>
    <row r="65" spans="2:11" ht="13.5" thickBot="1">
      <c r="B65" s="1097" t="str">
        <f>IF('[2]Milch'!B93="","",'[2]Milch'!B93)</f>
        <v>Versicherung</v>
      </c>
      <c r="C65" s="1098"/>
      <c r="D65" s="304">
        <f>IF('[2]Milch'!O93="","",'[2]Milch'!O93)</f>
        <v>21</v>
      </c>
      <c r="E65" s="319">
        <f>IF('[2]Milch'!P93="","",'[2]Milch'!P93)</f>
      </c>
      <c r="F65" s="318"/>
      <c r="G65" s="284"/>
      <c r="H65" s="284"/>
      <c r="J65" s="708"/>
      <c r="K65" s="266"/>
    </row>
    <row r="66" spans="2:11" ht="13.5" thickBot="1">
      <c r="B66" s="1097" t="str">
        <f>IF('[2]Milch'!B95="","",'[2]Milch'!B95)</f>
        <v>Alpung</v>
      </c>
      <c r="C66" s="1098"/>
      <c r="D66" s="304">
        <f>IF('[2]Milch'!O95="","",'[2]Milch'!O95)</f>
        <v>90</v>
      </c>
      <c r="E66" s="317">
        <f>IF('[2]Milch'!P95="","",'[2]Milch'!P95)</f>
      </c>
      <c r="F66" s="318"/>
      <c r="G66" s="284"/>
      <c r="H66" s="284"/>
      <c r="J66" s="708"/>
      <c r="K66" s="266"/>
    </row>
    <row r="67" spans="2:11" ht="13.5" thickBot="1">
      <c r="B67" s="1097" t="str">
        <f>IF('[2]Milch'!B97="","",'[2]Milch'!B97)</f>
        <v>Energie</v>
      </c>
      <c r="C67" s="1098"/>
      <c r="D67" s="304">
        <f>IF('[2]Milch'!O97="","",'[2]Milch'!O97)</f>
        <v>25</v>
      </c>
      <c r="E67" s="317">
        <f>IF('[2]Milch'!P97="","",'[2]Milch'!P97)</f>
      </c>
      <c r="F67" s="706"/>
      <c r="G67" s="284"/>
      <c r="H67" s="284"/>
      <c r="J67" s="708"/>
      <c r="K67" s="266"/>
    </row>
    <row r="68" spans="2:11" ht="13.5" thickBot="1">
      <c r="B68" s="1097" t="str">
        <f>IF('[2]Milch'!B99="","",'[2]Milch'!B99)</f>
        <v>Einstreu</v>
      </c>
      <c r="C68" s="1098"/>
      <c r="D68" s="304">
        <f>IF('[2]Milch'!O99="","",'[2]Milch'!O99)</f>
        <v>0.11</v>
      </c>
      <c r="E68" s="317">
        <f>IF('[2]Milch'!P99="","",'[2]Milch'!P99)</f>
        <v>560</v>
      </c>
      <c r="F68" s="310"/>
      <c r="G68" s="284"/>
      <c r="H68" s="284"/>
      <c r="J68" s="708"/>
      <c r="K68" s="266"/>
    </row>
    <row r="69" spans="2:11" ht="13.5" thickBot="1">
      <c r="B69" s="1097" t="str">
        <f>IF('[2]Milch'!B101="","",'[2]Milch'!B101)</f>
        <v>Vermarktungs-/Verarbeitungskosten</v>
      </c>
      <c r="C69" s="1098"/>
      <c r="D69" s="320">
        <f>IF('[2]Milch'!O101="","",'[2]Milch'!O101)</f>
        <v>0.06</v>
      </c>
      <c r="E69" s="317">
        <f>IF('[2]Milch'!P101="","",'[2]Milch'!P101)</f>
        <v>2010</v>
      </c>
      <c r="F69" s="705"/>
      <c r="G69" s="1112">
        <f>IF('[2]Milch'!M101="","",'[2]Milch'!M101)</f>
      </c>
      <c r="H69" s="1113"/>
      <c r="J69" s="708"/>
      <c r="K69" s="266"/>
    </row>
    <row r="70" spans="2:11" ht="13.5" thickBot="1">
      <c r="B70" s="1097" t="str">
        <f>IF('[2]Milch'!B103="","",'[2]Milch'!B103)</f>
        <v>Verpackung/Etik. - in €/kg Produktion</v>
      </c>
      <c r="C70" s="1098"/>
      <c r="D70" s="321">
        <f>IF('[2]Milch'!O103="","",'[2]Milch'!O103)</f>
        <v>0.03</v>
      </c>
      <c r="E70" s="317">
        <f>IF('[2]Milch'!P103="","",'[2]Milch'!P103)</f>
        <v>505</v>
      </c>
      <c r="F70" s="310"/>
      <c r="G70" s="284"/>
      <c r="H70" s="284"/>
      <c r="J70" s="708"/>
      <c r="K70" s="266"/>
    </row>
    <row r="71" spans="2:11" ht="13.5" thickBot="1">
      <c r="B71" s="1097" t="str">
        <f>IF('[2]Milch'!B105="","",'[2]Milch'!B105)</f>
        <v>Reinigung und Energie</v>
      </c>
      <c r="C71" s="1098"/>
      <c r="D71" s="304">
        <f>IF('[2]Milch'!O105="","",'[2]Milch'!O105)</f>
        <v>72.5</v>
      </c>
      <c r="E71" s="317">
        <f>IF('[2]Milch'!P105="","",'[2]Milch'!P105)</f>
      </c>
      <c r="F71" s="310"/>
      <c r="G71" s="284"/>
      <c r="H71" s="284"/>
      <c r="J71" s="708"/>
      <c r="K71" s="266"/>
    </row>
    <row r="72" spans="2:11" ht="13.5" thickBot="1">
      <c r="B72" s="1097" t="str">
        <f>IF('[2]Milch'!B107="","",'[2]Milch'!B107)</f>
        <v>Zuteilbare FK Butterfass, Zentrifuge</v>
      </c>
      <c r="C72" s="1098"/>
      <c r="D72" s="304">
        <f>IF('[2]Milch'!O107="","",'[2]Milch'!O107)</f>
        <v>175</v>
      </c>
      <c r="E72" s="317">
        <f>IF('[2]Milch'!P107="","",'[2]Milch'!P107)</f>
      </c>
      <c r="F72" s="318"/>
      <c r="G72" s="284"/>
      <c r="H72" s="284"/>
      <c r="J72" s="708"/>
      <c r="K72" s="266"/>
    </row>
    <row r="73" spans="2:11" ht="13.5" thickBot="1">
      <c r="B73" s="1091" t="s">
        <v>277</v>
      </c>
      <c r="C73" s="1092"/>
      <c r="D73" s="315"/>
      <c r="E73" s="315"/>
      <c r="F73" s="707"/>
      <c r="G73" s="315"/>
      <c r="H73" s="316">
        <f>IF(F73="","",F73)</f>
      </c>
      <c r="J73" s="708"/>
      <c r="K73" s="266"/>
    </row>
    <row r="74" spans="2:11" ht="13.5" thickBot="1">
      <c r="B74" s="322" t="s">
        <v>278</v>
      </c>
      <c r="C74" s="322"/>
      <c r="D74" s="322"/>
      <c r="E74" s="322"/>
      <c r="F74" s="322" t="s">
        <v>693</v>
      </c>
      <c r="G74" s="1085"/>
      <c r="H74" s="1086"/>
      <c r="J74" s="708"/>
      <c r="K74" s="266"/>
    </row>
    <row r="75" spans="10:11" ht="12.75">
      <c r="J75" s="708"/>
      <c r="K75" s="266"/>
    </row>
    <row r="76" spans="2:11" ht="12.75">
      <c r="B76" s="1087" t="s">
        <v>279</v>
      </c>
      <c r="C76" s="1087"/>
      <c r="D76" s="1087"/>
      <c r="E76" s="1087"/>
      <c r="F76" s="1087"/>
      <c r="G76" s="1087"/>
      <c r="H76" s="1087"/>
      <c r="J76" s="708"/>
      <c r="K76" s="266"/>
    </row>
    <row r="77" spans="2:11" ht="12.75">
      <c r="B77" s="1088" t="s">
        <v>532</v>
      </c>
      <c r="C77" s="1089"/>
      <c r="D77" s="323">
        <f>G8-(H9*G11)</f>
        <v>7993.3677307199905</v>
      </c>
      <c r="E77" s="324"/>
      <c r="F77" s="324"/>
      <c r="G77" s="284"/>
      <c r="H77" s="284"/>
      <c r="J77" s="708"/>
      <c r="K77" s="266"/>
    </row>
    <row r="78" spans="2:11" ht="12.75">
      <c r="B78" s="1084" t="s">
        <v>280</v>
      </c>
      <c r="C78" s="325" t="s">
        <v>281</v>
      </c>
      <c r="D78" s="325" t="s">
        <v>281</v>
      </c>
      <c r="E78" s="1090" t="s">
        <v>282</v>
      </c>
      <c r="F78" s="308"/>
      <c r="G78" s="307"/>
      <c r="H78" s="307"/>
      <c r="J78" s="708"/>
      <c r="K78" s="266"/>
    </row>
    <row r="79" spans="2:11" ht="13.5" thickBot="1">
      <c r="B79" s="1084"/>
      <c r="C79" s="325" t="s">
        <v>283</v>
      </c>
      <c r="D79" s="325" t="s">
        <v>284</v>
      </c>
      <c r="E79" s="1090" t="s">
        <v>139</v>
      </c>
      <c r="F79" s="308"/>
      <c r="G79" s="307"/>
      <c r="H79" s="307"/>
      <c r="J79" s="708"/>
      <c r="K79" s="266"/>
    </row>
    <row r="80" spans="2:11" ht="13.5" thickBot="1">
      <c r="B80" s="267" t="str">
        <f>IF('[2]Milch'!B111="","",'[2]Milch'!B111)</f>
        <v>Heu</v>
      </c>
      <c r="C80" s="326">
        <f>IF('[2]Milch'!O111="","",'[2]Milch'!O111)</f>
        <v>0.65</v>
      </c>
      <c r="D80" s="327">
        <f>IF(C80="","",$D$77*C80)</f>
        <v>5195.689024967994</v>
      </c>
      <c r="E80" s="328">
        <f>IF('[2]Milch'!P111="","",'[2]Milch'!P111)</f>
        <v>0.018</v>
      </c>
      <c r="F80" s="704"/>
      <c r="G80" s="1109" t="s">
        <v>285</v>
      </c>
      <c r="H80" s="1109"/>
      <c r="J80" s="708"/>
      <c r="K80" s="266"/>
    </row>
    <row r="81" spans="2:11" ht="13.5" thickBot="1">
      <c r="B81" s="329" t="str">
        <f>IF('[2]Milch'!B113="","",'[2]Milch'!B113)</f>
        <v>Grassilage</v>
      </c>
      <c r="C81" s="326">
        <f>IF('[2]Milch'!O113="","",'[2]Milch'!O113)</f>
        <v>0.35</v>
      </c>
      <c r="D81" s="327">
        <f>IF(C81="","",$D$77*C81)</f>
        <v>2797.6787057519964</v>
      </c>
      <c r="E81" s="328">
        <f>IF('[2]Milch'!P113="","",'[2]Milch'!P113)</f>
        <v>0.015</v>
      </c>
      <c r="F81" s="798"/>
      <c r="G81" s="1105"/>
      <c r="H81" s="1106"/>
      <c r="J81" s="708"/>
      <c r="K81" s="266"/>
    </row>
    <row r="82" spans="2:11" ht="13.5" thickBot="1">
      <c r="B82" s="329" t="str">
        <f>IF('[2]Milch'!B115="","",'[2]Milch'!B115)</f>
        <v>Maissilage</v>
      </c>
      <c r="C82" s="326">
        <f>IF('[2]Milch'!O115="","",'[2]Milch'!O115)</f>
        <v>0</v>
      </c>
      <c r="D82" s="327">
        <f>IF(C82="","",$D$77*C82)</f>
        <v>0</v>
      </c>
      <c r="E82" s="328">
        <f>IF('[2]Milch'!P115="","",'[2]Milch'!P115)</f>
        <v>0.015</v>
      </c>
      <c r="F82" s="799">
        <f>D82*E82</f>
        <v>0</v>
      </c>
      <c r="G82" s="1107"/>
      <c r="H82" s="1108"/>
      <c r="J82" s="708"/>
      <c r="K82" s="266"/>
    </row>
    <row r="83" spans="2:11" ht="13.5" thickBot="1">
      <c r="B83" s="987" t="s">
        <v>286</v>
      </c>
      <c r="C83" s="987"/>
      <c r="D83" s="987"/>
      <c r="E83" s="987"/>
      <c r="F83" s="987" t="s">
        <v>694</v>
      </c>
      <c r="G83" s="1085"/>
      <c r="H83" s="1086"/>
      <c r="J83" s="708"/>
      <c r="K83" s="266"/>
    </row>
    <row r="84" spans="2:11" ht="12.75">
      <c r="B84" s="1087" t="s">
        <v>170</v>
      </c>
      <c r="C84" s="1087"/>
      <c r="D84" s="1087"/>
      <c r="E84" s="1087"/>
      <c r="F84" s="1087"/>
      <c r="G84" s="1087"/>
      <c r="H84" s="1087"/>
      <c r="J84" s="708"/>
      <c r="K84" s="266"/>
    </row>
    <row r="85" spans="2:11" ht="12.75" customHeight="1">
      <c r="B85" s="285">
        <f>IF('[2]Milch'!B119="","",'[2]Milch'!B119)</f>
      </c>
      <c r="C85" s="330"/>
      <c r="D85" s="285"/>
      <c r="E85" s="285"/>
      <c r="F85" s="285"/>
      <c r="G85" s="1093">
        <f>IF('[2]Milch'!O119="","",'[2]Milch'!O119)</f>
      </c>
      <c r="H85" s="1094"/>
      <c r="J85" s="708"/>
      <c r="K85" s="266"/>
    </row>
    <row r="86" spans="2:11" ht="12.75" customHeight="1">
      <c r="B86" s="285">
        <f>IF('[2]Milch'!B121="","",'[2]Milch'!B121)</f>
      </c>
      <c r="C86" s="330"/>
      <c r="D86" s="285"/>
      <c r="E86" s="285"/>
      <c r="F86" s="285"/>
      <c r="G86" s="1093">
        <f>IF('[2]Milch'!O121="","",'[2]Milch'!O121)</f>
      </c>
      <c r="H86" s="1094"/>
      <c r="J86" s="708"/>
      <c r="K86" s="266"/>
    </row>
    <row r="87" spans="2:11" ht="13.5" customHeight="1">
      <c r="B87" s="285">
        <f>IF('[2]Milch'!B123="","",'[2]Milch'!B123)</f>
      </c>
      <c r="C87" s="330"/>
      <c r="D87" s="285"/>
      <c r="E87" s="285"/>
      <c r="F87" s="285"/>
      <c r="G87" s="1095">
        <f>IF('[2]Milch'!O123="","",'[2]Milch'!O123)</f>
      </c>
      <c r="H87" s="1096"/>
      <c r="J87" s="708"/>
      <c r="K87" s="266"/>
    </row>
    <row r="88" spans="2:11" ht="13.5" thickBot="1">
      <c r="B88" s="1091" t="s">
        <v>178</v>
      </c>
      <c r="C88" s="1092"/>
      <c r="D88" s="331"/>
      <c r="E88" s="312"/>
      <c r="F88" s="331"/>
      <c r="G88" s="1110">
        <f>SUM(G85:H87)</f>
        <v>0</v>
      </c>
      <c r="H88" s="1111"/>
      <c r="J88" s="708"/>
      <c r="K88" s="266"/>
    </row>
    <row r="89" spans="2:11" ht="13.5" thickBot="1">
      <c r="B89" s="987" t="s">
        <v>287</v>
      </c>
      <c r="C89" s="987"/>
      <c r="D89" s="987"/>
      <c r="E89" s="987"/>
      <c r="F89" s="987" t="s">
        <v>695</v>
      </c>
      <c r="G89" s="1085"/>
      <c r="H89" s="1086"/>
      <c r="J89" s="708"/>
      <c r="K89" s="266"/>
    </row>
    <row r="90" spans="10:11" ht="12.75">
      <c r="J90" s="708"/>
      <c r="K90" s="266"/>
    </row>
    <row r="91" spans="2:11" ht="12.75">
      <c r="B91" s="1087" t="s">
        <v>288</v>
      </c>
      <c r="C91" s="1087"/>
      <c r="D91" s="1087"/>
      <c r="E91" s="1087"/>
      <c r="F91" s="1087"/>
      <c r="G91" s="1087"/>
      <c r="H91" s="1087"/>
      <c r="J91" s="708"/>
      <c r="K91" s="266"/>
    </row>
    <row r="92" spans="2:11" ht="12.75">
      <c r="B92" s="285" t="s">
        <v>289</v>
      </c>
      <c r="C92" s="330"/>
      <c r="D92" s="330"/>
      <c r="E92" s="296">
        <f>IF('[2]Milch'!O127="","",'[2]Milch'!O127)</f>
        <v>55</v>
      </c>
      <c r="F92" s="145" t="s">
        <v>290</v>
      </c>
      <c r="G92" s="1103">
        <f>E92/60*D7</f>
        <v>284.16666666666663</v>
      </c>
      <c r="H92" s="1104"/>
      <c r="J92" s="708"/>
      <c r="K92" s="266"/>
    </row>
    <row r="93" spans="2:11" ht="12.75">
      <c r="B93" s="285" t="s">
        <v>291</v>
      </c>
      <c r="C93" s="330"/>
      <c r="D93" s="330"/>
      <c r="E93" s="330"/>
      <c r="F93" s="285"/>
      <c r="G93" s="1101">
        <f>IF(AND(AND(C25="",F25=""),AND(C26="",F26=""),AND(C27="",F27=""),AND(C28="",F28=""),AND(C29="",F29=""),AND(C30="",F30="")),"",SUM(IF(OR(F25="",C25=""),0,(F25*C25)),IF(OR(F26="",C26=""),0,(F26*C26)),IF(OR(F27="",C27=""),0,(F27*C27)),IF(OR(F28="",C28=""),0,(F28*C28)),IF(OR(F29="",C29=""),0,(F29*C29)),IF(OR(F30="",C30=""),0,(F30*C30))))/100</f>
        <v>69.89625</v>
      </c>
      <c r="H93" s="1102"/>
      <c r="J93" s="708"/>
      <c r="K93" s="266"/>
    </row>
    <row r="94" spans="2:11" ht="13.5" thickBot="1">
      <c r="B94" s="312" t="s">
        <v>292</v>
      </c>
      <c r="C94" s="312"/>
      <c r="D94" s="312"/>
      <c r="E94" s="331"/>
      <c r="F94" s="331"/>
      <c r="G94" s="1099">
        <f>SUM(G92:H93)</f>
        <v>354.06291666666664</v>
      </c>
      <c r="H94" s="1100"/>
      <c r="J94" s="708"/>
      <c r="K94" s="266"/>
    </row>
    <row r="95" spans="2:11" ht="13.5" thickBot="1">
      <c r="B95" s="1118" t="s">
        <v>46</v>
      </c>
      <c r="C95" s="1118"/>
      <c r="D95" s="1118"/>
      <c r="E95" s="1118"/>
      <c r="F95" s="1118"/>
      <c r="G95" s="1119"/>
      <c r="H95" s="1120"/>
      <c r="J95" s="708"/>
      <c r="K95" s="266"/>
    </row>
    <row r="96" spans="10:11" ht="12.75">
      <c r="J96" s="708"/>
      <c r="K96" s="266"/>
    </row>
    <row r="97" ht="12.75" hidden="1">
      <c r="J97" s="1"/>
    </row>
    <row r="98" ht="12.75" hidden="1">
      <c r="J98" s="1"/>
    </row>
    <row r="99" ht="12.75" hidden="1">
      <c r="J99" s="1"/>
    </row>
    <row r="100" ht="12.75" hidden="1">
      <c r="J100" s="1"/>
    </row>
    <row r="101" ht="12.75" hidden="1">
      <c r="J101" s="1"/>
    </row>
    <row r="102" ht="12.75" hidden="1">
      <c r="J102" s="1"/>
    </row>
    <row r="103" ht="12.75" hidden="1">
      <c r="J103" s="1"/>
    </row>
    <row r="104" ht="12.75" hidden="1">
      <c r="J104" s="1"/>
    </row>
    <row r="105" ht="12.75" hidden="1">
      <c r="J105" s="1"/>
    </row>
    <row r="106" ht="12.75" hidden="1">
      <c r="J106" s="1"/>
    </row>
    <row r="107" ht="12.75" hidden="1">
      <c r="J107" s="1"/>
    </row>
    <row r="108" ht="12.75" hidden="1">
      <c r="J108" s="1"/>
    </row>
    <row r="109" ht="12.75" hidden="1">
      <c r="J109" s="1"/>
    </row>
    <row r="110" ht="12.75" hidden="1">
      <c r="J110" s="1"/>
    </row>
    <row r="111" ht="12.75" hidden="1">
      <c r="J111" s="1"/>
    </row>
    <row r="112" ht="12.75" hidden="1">
      <c r="J112" s="1"/>
    </row>
    <row r="113" ht="12.75" hidden="1">
      <c r="J113" s="1"/>
    </row>
    <row r="114" ht="12.75" hidden="1">
      <c r="J114" s="1"/>
    </row>
    <row r="115" ht="12.75" hidden="1">
      <c r="J115" s="1"/>
    </row>
    <row r="116" ht="12.75" hidden="1">
      <c r="J116" s="1"/>
    </row>
    <row r="117" ht="12.75" hidden="1">
      <c r="J117" s="1"/>
    </row>
    <row r="118" ht="12.75" hidden="1">
      <c r="J118" s="1"/>
    </row>
    <row r="119" ht="12.75" hidden="1">
      <c r="J119" s="1"/>
    </row>
    <row r="120" ht="12.75" hidden="1">
      <c r="J120" s="1"/>
    </row>
    <row r="121" ht="12.75" hidden="1">
      <c r="J121" s="1"/>
    </row>
    <row r="122" ht="12.75" hidden="1">
      <c r="J122" s="1"/>
    </row>
    <row r="123" ht="12.75" hidden="1">
      <c r="J123" s="1"/>
    </row>
    <row r="124" ht="12.75" hidden="1">
      <c r="J124" s="1"/>
    </row>
    <row r="125" ht="12.75" hidden="1">
      <c r="J125" s="1"/>
    </row>
    <row r="126" ht="12.75" hidden="1">
      <c r="J126" s="1"/>
    </row>
    <row r="127" ht="12.75" hidden="1">
      <c r="J127" s="1"/>
    </row>
    <row r="128" ht="12.75" hidden="1">
      <c r="J128" s="1"/>
    </row>
    <row r="129" ht="12.75" hidden="1">
      <c r="J129" s="1"/>
    </row>
    <row r="130" ht="12.75" hidden="1">
      <c r="J130" s="1"/>
    </row>
    <row r="131" ht="12.75" hidden="1">
      <c r="J131" s="1"/>
    </row>
    <row r="132" ht="12.75" customHeight="1" hidden="1">
      <c r="J132" s="1"/>
    </row>
    <row r="133" ht="12.75" customHeight="1" hidden="1">
      <c r="J133" s="1"/>
    </row>
    <row r="134" ht="12.75" customHeight="1" hidden="1">
      <c r="J134" s="1"/>
    </row>
    <row r="135" ht="12.75" customHeight="1" hidden="1">
      <c r="J135" s="1"/>
    </row>
    <row r="136" ht="12.75" customHeight="1" hidden="1">
      <c r="J136" s="1"/>
    </row>
    <row r="137" ht="12.75" customHeight="1" hidden="1">
      <c r="J137" s="1"/>
    </row>
    <row r="138" ht="12.75" customHeight="1" hidden="1">
      <c r="J138" s="1"/>
    </row>
    <row r="139" ht="12.75" customHeight="1" hidden="1">
      <c r="J139" s="1"/>
    </row>
    <row r="140" ht="12.75" customHeight="1" hidden="1">
      <c r="J140" s="1"/>
    </row>
    <row r="141" ht="12.75" customHeight="1" hidden="1">
      <c r="J141" s="1"/>
    </row>
    <row r="142" ht="12.75" customHeight="1" hidden="1">
      <c r="J142" s="1"/>
    </row>
    <row r="143" ht="12.75" customHeight="1" hidden="1">
      <c r="J143" s="1"/>
    </row>
    <row r="144" ht="12.75" customHeight="1" hidden="1">
      <c r="J144" s="1"/>
    </row>
    <row r="145" ht="12.75" customHeight="1" hidden="1">
      <c r="J145" s="1"/>
    </row>
    <row r="146" ht="12.75" customHeight="1" hidden="1">
      <c r="J146" s="1"/>
    </row>
    <row r="147" ht="12.75" customHeight="1" hidden="1">
      <c r="J147" s="1"/>
    </row>
    <row r="148" ht="12.75" customHeight="1" hidden="1">
      <c r="J148" s="1"/>
    </row>
    <row r="149" ht="12.75" customHeight="1" hidden="1">
      <c r="J149" s="1"/>
    </row>
    <row r="150" ht="12.75" customHeight="1" hidden="1">
      <c r="J150" s="1"/>
    </row>
    <row r="151" ht="12.75" customHeight="1" hidden="1">
      <c r="J151" s="1"/>
    </row>
    <row r="152" ht="12.75" customHeight="1" hidden="1">
      <c r="J152" s="1"/>
    </row>
    <row r="153" ht="12.75" customHeight="1" hidden="1">
      <c r="J153" s="1"/>
    </row>
    <row r="154" ht="12.75" customHeight="1" hidden="1">
      <c r="J154" s="1"/>
    </row>
    <row r="155" ht="12.75" customHeight="1" hidden="1">
      <c r="J155" s="1"/>
    </row>
    <row r="156" ht="12.75" customHeight="1" hidden="1">
      <c r="J156" s="1"/>
    </row>
    <row r="157" ht="12.75" customHeight="1" hidden="1">
      <c r="J157" s="1"/>
    </row>
    <row r="158" ht="12.75" customHeight="1" hidden="1">
      <c r="J158" s="1"/>
    </row>
    <row r="159" ht="12.75" customHeight="1" hidden="1">
      <c r="J159" s="1"/>
    </row>
    <row r="160" ht="12.75" customHeight="1" hidden="1">
      <c r="J160" s="1"/>
    </row>
    <row r="161" ht="12.75" customHeight="1" hidden="1">
      <c r="J161" s="1"/>
    </row>
    <row r="162" ht="12.75" customHeight="1" hidden="1">
      <c r="J162" s="1"/>
    </row>
    <row r="163" ht="12.75" customHeight="1" hidden="1">
      <c r="J163" s="1"/>
    </row>
    <row r="164" ht="12.75" customHeight="1" hidden="1">
      <c r="J164" s="1"/>
    </row>
    <row r="165" ht="12.75" customHeight="1" hidden="1">
      <c r="J165" s="1"/>
    </row>
    <row r="166" ht="12.75" customHeight="1" hidden="1">
      <c r="J166" s="1"/>
    </row>
    <row r="167" ht="12.75" customHeight="1" hidden="1">
      <c r="J167" s="1"/>
    </row>
    <row r="168" ht="12.75" customHeight="1" hidden="1">
      <c r="J168" s="1"/>
    </row>
    <row r="169" ht="12.75" customHeight="1" hidden="1">
      <c r="J169" s="1"/>
    </row>
    <row r="170" ht="12.75" customHeight="1" hidden="1">
      <c r="J170" s="1"/>
    </row>
    <row r="171" ht="12.75" customHeight="1" hidden="1">
      <c r="J171" s="1"/>
    </row>
    <row r="172" ht="12.75" customHeight="1" hidden="1">
      <c r="J172" s="1"/>
    </row>
    <row r="173" ht="12.75" customHeight="1" hidden="1">
      <c r="J173" s="1"/>
    </row>
    <row r="174" ht="12.75" customHeight="1" hidden="1">
      <c r="J174" s="1"/>
    </row>
    <row r="175" ht="12.75" customHeight="1" hidden="1">
      <c r="J175" s="1"/>
    </row>
    <row r="176" ht="12.75" customHeight="1" hidden="1">
      <c r="J176" s="1"/>
    </row>
    <row r="177" ht="12.75" customHeight="1" hidden="1">
      <c r="J177" s="1"/>
    </row>
    <row r="178" ht="12.75" customHeight="1" hidden="1">
      <c r="J178" s="1"/>
    </row>
    <row r="179" ht="12.75" customHeight="1" hidden="1">
      <c r="J179" s="1"/>
    </row>
    <row r="180" ht="12.75" customHeight="1" hidden="1">
      <c r="J180" s="1"/>
    </row>
    <row r="181" ht="12.75" customHeight="1" hidden="1">
      <c r="J181" s="1"/>
    </row>
    <row r="182" ht="12.75" customHeight="1" hidden="1">
      <c r="J182" s="1"/>
    </row>
    <row r="183" ht="12.75" customHeight="1" hidden="1">
      <c r="J183" s="1"/>
    </row>
    <row r="184" ht="12.75" customHeight="1" hidden="1">
      <c r="J184" s="1"/>
    </row>
    <row r="185" ht="12.75" customHeight="1" hidden="1">
      <c r="J185" s="1"/>
    </row>
    <row r="186" ht="12.75" customHeight="1" hidden="1">
      <c r="J186" s="1"/>
    </row>
    <row r="187" ht="12.75" customHeight="1" hidden="1">
      <c r="J187" s="1"/>
    </row>
    <row r="188" ht="12.75" customHeight="1" hidden="1">
      <c r="J188" s="1"/>
    </row>
    <row r="189" ht="12.75" customHeight="1" hidden="1">
      <c r="J189" s="1"/>
    </row>
    <row r="190" ht="12.75" customHeight="1" hidden="1">
      <c r="J190" s="1"/>
    </row>
    <row r="191" ht="12.75" customHeight="1" hidden="1">
      <c r="J191" s="1"/>
    </row>
    <row r="192" ht="12.75" customHeight="1" hidden="1">
      <c r="J192" s="1"/>
    </row>
    <row r="193" ht="12.75" customHeight="1" hidden="1">
      <c r="J193" s="1"/>
    </row>
  </sheetData>
  <sheetProtection sheet="1" objects="1" scenarios="1"/>
  <mergeCells count="66">
    <mergeCell ref="B35:H35"/>
    <mergeCell ref="K1:K2"/>
    <mergeCell ref="H15:H16"/>
    <mergeCell ref="B3:H3"/>
    <mergeCell ref="E4:H4"/>
    <mergeCell ref="E12:E14"/>
    <mergeCell ref="F12:F14"/>
    <mergeCell ref="G12:G14"/>
    <mergeCell ref="H12:H14"/>
    <mergeCell ref="B1:I1"/>
    <mergeCell ref="H23:H24"/>
    <mergeCell ref="B31:H31"/>
    <mergeCell ref="E23:E24"/>
    <mergeCell ref="E15:G16"/>
    <mergeCell ref="B41:C41"/>
    <mergeCell ref="B37:C37"/>
    <mergeCell ref="B38:C38"/>
    <mergeCell ref="B39:C39"/>
    <mergeCell ref="B40:H40"/>
    <mergeCell ref="F23:F24"/>
    <mergeCell ref="B52:C52"/>
    <mergeCell ref="B36:C36"/>
    <mergeCell ref="B95:F95"/>
    <mergeCell ref="G95:H95"/>
    <mergeCell ref="B18:H18"/>
    <mergeCell ref="B22:H22"/>
    <mergeCell ref="B23:B24"/>
    <mergeCell ref="C23:C24"/>
    <mergeCell ref="D23:D24"/>
    <mergeCell ref="G23:G24"/>
    <mergeCell ref="B60:C60"/>
    <mergeCell ref="B61:C61"/>
    <mergeCell ref="B62:C62"/>
    <mergeCell ref="B63:C63"/>
    <mergeCell ref="B58:C58"/>
    <mergeCell ref="B59:C59"/>
    <mergeCell ref="G69:H69"/>
    <mergeCell ref="B72:C72"/>
    <mergeCell ref="B73:C73"/>
    <mergeCell ref="B64:C64"/>
    <mergeCell ref="B65:C65"/>
    <mergeCell ref="B66:C66"/>
    <mergeCell ref="B67:C67"/>
    <mergeCell ref="B68:C68"/>
    <mergeCell ref="B69:C69"/>
    <mergeCell ref="B70:C70"/>
    <mergeCell ref="B71:C71"/>
    <mergeCell ref="G94:H94"/>
    <mergeCell ref="G93:H93"/>
    <mergeCell ref="G92:H92"/>
    <mergeCell ref="B91:H91"/>
    <mergeCell ref="G81:H82"/>
    <mergeCell ref="G80:H80"/>
    <mergeCell ref="G89:H89"/>
    <mergeCell ref="G88:H88"/>
    <mergeCell ref="B84:H84"/>
    <mergeCell ref="B78:B79"/>
    <mergeCell ref="G74:H74"/>
    <mergeCell ref="B76:H76"/>
    <mergeCell ref="B77:C77"/>
    <mergeCell ref="E78:E79"/>
    <mergeCell ref="B88:C88"/>
    <mergeCell ref="G83:H83"/>
    <mergeCell ref="G85:H85"/>
    <mergeCell ref="G86:H86"/>
    <mergeCell ref="G87:H87"/>
  </mergeCells>
  <conditionalFormatting sqref="F42:F48 F51">
    <cfRule type="expression" priority="2" dxfId="23" stopIfTrue="1">
      <formula>OR($D42="",$E42="")</formula>
    </cfRule>
  </conditionalFormatting>
  <conditionalFormatting sqref="F60:F72">
    <cfRule type="expression" priority="3" dxfId="23" stopIfTrue="1">
      <formula>AND($D60="",$E60="")</formula>
    </cfRule>
  </conditionalFormatting>
  <conditionalFormatting sqref="G5:G8 H5:H9 D4:D7 C9:C11 D9:D10 D77 C80:D82 G11:H11 C13:D13 D15:D16 C19:C21 F20 E92 C32:C33 D36:D39 H15:H16 D42:D48 F53:F54 F59 D51">
    <cfRule type="cellIs" priority="4" dxfId="52" operator="equal" stopIfTrue="1">
      <formula>""</formula>
    </cfRule>
  </conditionalFormatting>
  <conditionalFormatting sqref="E42:E48 E51">
    <cfRule type="cellIs" priority="5" dxfId="23" operator="equal" stopIfTrue="1">
      <formula>""</formula>
    </cfRule>
  </conditionalFormatting>
  <conditionalFormatting sqref="F80:F82">
    <cfRule type="expression" priority="6" dxfId="23" stopIfTrue="1">
      <formula>$C80=""</formula>
    </cfRule>
  </conditionalFormatting>
  <conditionalFormatting sqref="E80:E82">
    <cfRule type="expression" priority="7" dxfId="41" stopIfTrue="1">
      <formula>$C80=""</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rowBreaks count="1" manualBreakCount="1">
    <brk id="55" max="255" man="1"/>
  </rowBreaks>
  <drawing r:id="rId3"/>
  <legacyDrawing r:id="rId2"/>
</worksheet>
</file>

<file path=xl/worksheets/sheet7.xml><?xml version="1.0" encoding="utf-8"?>
<worksheet xmlns="http://schemas.openxmlformats.org/spreadsheetml/2006/main" xmlns:r="http://schemas.openxmlformats.org/officeDocument/2006/relationships">
  <sheetPr>
    <tabColor indexed="10"/>
  </sheetPr>
  <dimension ref="A1:M64"/>
  <sheetViews>
    <sheetView showGridLines="0" zoomScalePageLayoutView="0" workbookViewId="0" topLeftCell="A1">
      <pane ySplit="2" topLeftCell="A3" activePane="bottomLeft" state="frozen"/>
      <selection pane="topLeft" activeCell="A8" sqref="A8"/>
      <selection pane="bottomLeft" activeCell="A8" sqref="A8"/>
    </sheetView>
  </sheetViews>
  <sheetFormatPr defaultColWidth="0" defaultRowHeight="0" customHeight="1" zeroHeight="1"/>
  <cols>
    <col min="1" max="1" width="2.7109375" style="18" customWidth="1"/>
    <col min="2" max="5" width="9.28125" style="18" customWidth="1"/>
    <col min="6" max="10" width="8.7109375" style="18" customWidth="1"/>
    <col min="11" max="11" width="2.7109375" style="18" customWidth="1"/>
    <col min="12" max="12" width="0.85546875" style="178" customWidth="1"/>
    <col min="13" max="13" width="22.7109375" style="178" customWidth="1"/>
    <col min="14" max="16384" width="11.421875" style="1" hidden="1" customWidth="1"/>
  </cols>
  <sheetData>
    <row r="1" spans="1:13" ht="24.75" customHeight="1">
      <c r="A1" s="180"/>
      <c r="B1" s="332" t="s">
        <v>293</v>
      </c>
      <c r="C1" s="333"/>
      <c r="D1" s="333"/>
      <c r="E1" s="333"/>
      <c r="F1" s="333"/>
      <c r="G1" s="333"/>
      <c r="H1" s="333"/>
      <c r="I1" s="333"/>
      <c r="J1" s="333"/>
      <c r="K1" s="333"/>
      <c r="L1" s="129"/>
      <c r="M1" s="1043" t="s">
        <v>100</v>
      </c>
    </row>
    <row r="2" spans="1:13" ht="30" customHeight="1">
      <c r="A2" s="334"/>
      <c r="B2" s="335"/>
      <c r="C2" s="335"/>
      <c r="D2" s="335"/>
      <c r="E2" s="335"/>
      <c r="F2" s="335"/>
      <c r="G2" s="335"/>
      <c r="H2" s="335"/>
      <c r="I2" s="335"/>
      <c r="J2" s="335"/>
      <c r="K2" s="335"/>
      <c r="L2" s="130"/>
      <c r="M2" s="1044"/>
    </row>
    <row r="3" spans="1:13" ht="12.75" customHeight="1">
      <c r="A3" s="335"/>
      <c r="B3" s="336" t="s">
        <v>294</v>
      </c>
      <c r="C3" s="337"/>
      <c r="D3" s="337"/>
      <c r="E3" s="337"/>
      <c r="F3" s="337"/>
      <c r="G3" s="337"/>
      <c r="H3" s="337"/>
      <c r="I3" s="337"/>
      <c r="J3" s="337"/>
      <c r="K3" s="335"/>
      <c r="L3" s="130"/>
      <c r="M3" s="133"/>
    </row>
    <row r="4" spans="1:13" ht="12.75" customHeight="1">
      <c r="A4" s="335"/>
      <c r="B4" s="194" t="s">
        <v>295</v>
      </c>
      <c r="C4" s="194"/>
      <c r="D4" s="194"/>
      <c r="E4" s="194"/>
      <c r="F4" s="194" t="s">
        <v>296</v>
      </c>
      <c r="G4" s="194"/>
      <c r="H4" s="194"/>
      <c r="I4" s="194" t="s">
        <v>297</v>
      </c>
      <c r="J4" s="194"/>
      <c r="K4" s="335"/>
      <c r="L4" s="130"/>
      <c r="M4" s="133"/>
    </row>
    <row r="5" spans="1:13" ht="12.75">
      <c r="A5" s="335"/>
      <c r="B5" s="183" t="str">
        <f>IF('[2]MuKu'!B12="","",'[2]MuKu'!B12)</f>
        <v>Erhaltungsbedarf</v>
      </c>
      <c r="C5" s="183"/>
      <c r="D5" s="338">
        <f>IF(OR(H8="",'[2]MuKu'!D14="",'[2]MuKu'!D16=""),"",POWER(H8,'[2]MuKu'!D14)*'[2]MuKu'!D16)</f>
        <v>36.84453097922078</v>
      </c>
      <c r="E5" s="339" t="s">
        <v>298</v>
      </c>
      <c r="F5" s="183" t="str">
        <f>IF('[2]MuKu'!B21="","",'[2]MuKu'!B21)</f>
        <v>Milchleistung:</v>
      </c>
      <c r="G5" s="183"/>
      <c r="H5" s="340">
        <f>IF('[2]MuKu'!O21="","",'[2]MuKu'!O21)</f>
        <v>3100</v>
      </c>
      <c r="I5" s="341">
        <f>IF('[2]MuKu'!K21="","",'[2]MuKu'!K21)</f>
        <v>1</v>
      </c>
      <c r="J5" s="342">
        <f>IF('[2]MuKu'!R21="","",'[2]MuKu'!R21)</f>
        <v>-0.2</v>
      </c>
      <c r="K5" s="335"/>
      <c r="L5" s="130"/>
      <c r="M5" s="133"/>
    </row>
    <row r="6" spans="1:13" ht="12.75">
      <c r="A6" s="335"/>
      <c r="B6" s="183" t="str">
        <f>IF('[2]MuKu'!F12="","",'[2]MuKu'!F12)</f>
        <v>Leistungsbedarf</v>
      </c>
      <c r="C6" s="183"/>
      <c r="D6" s="343">
        <f>IF(OR('[2]MuKu'!I14="",H5="",'[2]MuKu'!I16=""),"",'[2]MuKu'!I14*H5/'[2]MuKu'!I16)</f>
        <v>27.29722222222222</v>
      </c>
      <c r="E6" s="339" t="s">
        <v>298</v>
      </c>
      <c r="F6" s="183" t="str">
        <f>IF('[2]MuKu'!B23="","",'[2]MuKu'!B23)</f>
        <v>Fett</v>
      </c>
      <c r="G6" s="183"/>
      <c r="H6" s="344">
        <f>IF('[2]MuKu'!O23="","",'[2]MuKu'!O23)</f>
        <v>0.04</v>
      </c>
      <c r="I6" s="341">
        <f>IF('[2]MuKu'!K23="","",'[2]MuKu'!K23)</f>
        <v>2</v>
      </c>
      <c r="J6" s="342">
        <f>IF('[2]MuKu'!R23="","",'[2]MuKu'!R23)</f>
        <v>-0.1</v>
      </c>
      <c r="K6" s="335"/>
      <c r="L6" s="130"/>
      <c r="M6" s="133"/>
    </row>
    <row r="7" spans="1:13" ht="12.75">
      <c r="A7" s="335"/>
      <c r="B7" s="183" t="s">
        <v>299</v>
      </c>
      <c r="C7" s="183"/>
      <c r="D7" s="712">
        <f>SUM(D5:D6)</f>
        <v>64.141753201443</v>
      </c>
      <c r="E7" s="339" t="s">
        <v>298</v>
      </c>
      <c r="F7" s="183" t="str">
        <f>IF('[2]MuKu'!B25="","",'[2]MuKu'!B25)</f>
        <v>Eiweiß</v>
      </c>
      <c r="G7" s="183"/>
      <c r="H7" s="344">
        <f>IF('[2]MuKu'!O25="","",'[2]MuKu'!O25)</f>
        <v>0.031</v>
      </c>
      <c r="I7" s="341">
        <f>IF('[2]MuKu'!K25="","",'[2]MuKu'!K25)</f>
        <v>4</v>
      </c>
      <c r="J7" s="342">
        <f>IF('[2]MuKu'!R25="","",'[2]MuKu'!R25)</f>
        <v>0.1</v>
      </c>
      <c r="K7" s="335"/>
      <c r="L7" s="130"/>
      <c r="M7" s="133"/>
    </row>
    <row r="8" spans="1:13" ht="12.75">
      <c r="A8" s="335"/>
      <c r="B8" s="183" t="s">
        <v>300</v>
      </c>
      <c r="C8" s="183"/>
      <c r="D8" s="695">
        <f>D7*H10</f>
        <v>18601.10842841847</v>
      </c>
      <c r="E8" s="345" t="s">
        <v>514</v>
      </c>
      <c r="F8" s="183" t="str">
        <f>IF('[2]MuKu'!B27="","",'[2]MuKu'!B27)</f>
        <v>Mutterkuhgewicht lebend</v>
      </c>
      <c r="G8" s="183"/>
      <c r="H8" s="340">
        <f>IF('[2]MuKu'!O27="","",'[2]MuKu'!O27)</f>
        <v>630</v>
      </c>
      <c r="I8" s="341">
        <f>IF('[2]MuKu'!K27="","",'[2]MuKu'!K27)</f>
        <v>5</v>
      </c>
      <c r="J8" s="342">
        <f>IF('[2]MuKu'!R27="","",'[2]MuKu'!R27)</f>
        <v>0.2</v>
      </c>
      <c r="K8" s="335"/>
      <c r="L8" s="130"/>
      <c r="M8" s="133"/>
    </row>
    <row r="9" spans="1:13" ht="12.75">
      <c r="A9" s="335"/>
      <c r="B9" s="183" t="str">
        <f>IF('[2]MuKu'!B18="","",'[2]MuKu'!B18)</f>
        <v>Bedarf je Nachkomme</v>
      </c>
      <c r="C9" s="183"/>
      <c r="D9" s="346">
        <f>IF('[2]MuKu'!O18="","",'[2]MuKu'!O18)</f>
        <v>7000</v>
      </c>
      <c r="E9" s="345" t="s">
        <v>514</v>
      </c>
      <c r="F9" s="183" t="str">
        <f>IF('[2]MuKu'!B29="","",'[2]MuKu'!B29)</f>
        <v>Nutzungsdauer</v>
      </c>
      <c r="G9" s="183"/>
      <c r="H9" s="347">
        <f>IF('[2]MuKu'!O29="","",'[2]MuKu'!O29)</f>
        <v>6</v>
      </c>
      <c r="I9" s="348" t="s">
        <v>301</v>
      </c>
      <c r="J9" s="348"/>
      <c r="K9" s="335"/>
      <c r="L9" s="130"/>
      <c r="M9" s="133"/>
    </row>
    <row r="10" spans="1:13" ht="12.75">
      <c r="A10" s="335"/>
      <c r="B10" s="183" t="s">
        <v>302</v>
      </c>
      <c r="C10" s="183"/>
      <c r="D10" s="695">
        <f>SUM(D8:D9)</f>
        <v>25601.10842841847</v>
      </c>
      <c r="E10" s="345" t="s">
        <v>514</v>
      </c>
      <c r="F10" s="183" t="str">
        <f>IF('[2]MuKu'!F21="","",'[2]MuKu'!F21)</f>
        <v>Stallhaltungstage</v>
      </c>
      <c r="G10" s="183"/>
      <c r="H10" s="347">
        <f>IF('[2]MuKu'!Q21="","",'[2]MuKu'!Q21)</f>
        <v>290</v>
      </c>
      <c r="I10" s="349" t="s">
        <v>303</v>
      </c>
      <c r="J10" s="349" t="s">
        <v>304</v>
      </c>
      <c r="K10" s="335"/>
      <c r="L10" s="130"/>
      <c r="M10" s="133"/>
    </row>
    <row r="11" spans="1:13" ht="12.75">
      <c r="A11" s="335"/>
      <c r="B11" s="194" t="s">
        <v>305</v>
      </c>
      <c r="C11" s="194"/>
      <c r="D11" s="194"/>
      <c r="E11" s="194"/>
      <c r="F11" s="183" t="str">
        <f>IF('[2]MuKu'!F23="","",'[2]MuKu'!F23)</f>
        <v>Abkalbequote</v>
      </c>
      <c r="G11" s="183"/>
      <c r="H11" s="350">
        <f>IF('[2]MuKu'!Q23="","",'[2]MuKu'!Q23)</f>
        <v>0.9</v>
      </c>
      <c r="I11" s="351">
        <f>IF('[2]MuKu'!Q27="","",'[2]MuKu'!Q27)</f>
        <v>0.5</v>
      </c>
      <c r="J11" s="351">
        <f>1-I11</f>
        <v>0.5</v>
      </c>
      <c r="K11" s="335"/>
      <c r="L11" s="130"/>
      <c r="M11" s="133"/>
    </row>
    <row r="12" spans="1:13" ht="12.75">
      <c r="A12" s="335"/>
      <c r="B12" s="183" t="str">
        <f>IF('[2]MuKu'!B33="","",'[2]MuKu'!B33)</f>
        <v>Nutzungsform</v>
      </c>
      <c r="C12" s="183"/>
      <c r="D12" s="352" t="str">
        <f>IF('[2]MuKu'!O33="","",'[2]MuKu'!O33)</f>
        <v>Baby-beef</v>
      </c>
      <c r="E12" s="353">
        <f>IF('[2]MuKu'!F33="","",'[2]MuKu'!F33)</f>
      </c>
      <c r="F12" s="348" t="s">
        <v>306</v>
      </c>
      <c r="G12" s="348"/>
      <c r="H12" s="348"/>
      <c r="I12" s="348"/>
      <c r="J12" s="348"/>
      <c r="K12" s="335"/>
      <c r="L12" s="130"/>
      <c r="M12" s="133"/>
    </row>
    <row r="13" spans="1:13" ht="12.75">
      <c r="A13" s="335"/>
      <c r="B13" s="183" t="str">
        <f>IF('[2]MuKu'!B35="","",'[2]MuKu'!B35)</f>
        <v>Haltungsdauer</v>
      </c>
      <c r="C13" s="183" t="str">
        <f>IF('[2]MuKu'!B37="","",'[2]MuKu'!B37)</f>
        <v>Kalbin</v>
      </c>
      <c r="D13" s="354">
        <f>IF('[2]MuKu'!O37="","",'[2]MuKu'!O37)</f>
      </c>
      <c r="E13" s="178" t="str">
        <f>IF('[2]MuKu'!E37="","",'[2]MuKu'!E37)</f>
        <v> Tage</v>
      </c>
      <c r="F13" s="355" t="s">
        <v>307</v>
      </c>
      <c r="G13" s="355"/>
      <c r="H13" s="355"/>
      <c r="I13" s="355"/>
      <c r="J13" s="355"/>
      <c r="K13" s="335"/>
      <c r="L13" s="130"/>
      <c r="M13" s="133"/>
    </row>
    <row r="14" spans="1:13" ht="12.75" customHeight="1">
      <c r="A14" s="335"/>
      <c r="B14" s="356"/>
      <c r="C14" s="183" t="str">
        <f>IF('[2]MuKu'!B39="","",'[2]MuKu'!B39)</f>
        <v>Stier</v>
      </c>
      <c r="D14" s="354">
        <f>IF('[2]MuKu'!O39="","",'[2]MuKu'!O39)</f>
      </c>
      <c r="E14" s="178" t="str">
        <f>IF('[2]MuKu'!E39="","",'[2]MuKu'!E39)</f>
        <v> Tage</v>
      </c>
      <c r="F14" s="357" t="s">
        <v>308</v>
      </c>
      <c r="G14" s="357"/>
      <c r="H14" s="357"/>
      <c r="I14" s="357"/>
      <c r="J14" s="357"/>
      <c r="K14" s="335"/>
      <c r="L14" s="130"/>
      <c r="M14" s="133"/>
    </row>
    <row r="15" spans="1:13" ht="12.75">
      <c r="A15" s="335"/>
      <c r="B15" s="348" t="s">
        <v>309</v>
      </c>
      <c r="C15" s="348"/>
      <c r="D15" s="348"/>
      <c r="E15" s="348"/>
      <c r="F15" s="358">
        <f>IF(OR(J5="",H15=""),"",ROUND($H15*SUM(1,$J$5),2))</f>
        <v>0.88</v>
      </c>
      <c r="G15" s="358">
        <f>IF(OR(J6="",H15=""),"",ROUND($H15*SUM(1,$J$6),2))</f>
        <v>0.99</v>
      </c>
      <c r="H15" s="359">
        <f>IF('[2]MuKu'!R35="","",'[2]MuKu'!R35)</f>
        <v>1.1</v>
      </c>
      <c r="I15" s="358">
        <f>IF(OR(J7="",H15=""),"",ROUND($H15*SUM(1,$J$7),2))</f>
        <v>1.21</v>
      </c>
      <c r="J15" s="358">
        <f>IF(OR(J8="",H15=""),"",ROUND($H15*SUM(1,$J$8),2))</f>
        <v>1.32</v>
      </c>
      <c r="K15" s="335"/>
      <c r="L15" s="130"/>
      <c r="M15" s="133"/>
    </row>
    <row r="16" spans="1:13" ht="12.75">
      <c r="A16" s="335"/>
      <c r="B16" s="194" t="s">
        <v>310</v>
      </c>
      <c r="C16" s="1059" t="s">
        <v>311</v>
      </c>
      <c r="D16" s="1059" t="s">
        <v>312</v>
      </c>
      <c r="E16" s="1059" t="s">
        <v>313</v>
      </c>
      <c r="F16" s="355" t="s">
        <v>314</v>
      </c>
      <c r="G16" s="355"/>
      <c r="H16" s="355"/>
      <c r="I16" s="355"/>
      <c r="J16" s="355"/>
      <c r="K16" s="335"/>
      <c r="L16" s="130"/>
      <c r="M16" s="133"/>
    </row>
    <row r="17" spans="1:13" ht="12.75">
      <c r="A17" s="335"/>
      <c r="B17" s="194" t="s">
        <v>310</v>
      </c>
      <c r="C17" s="1059" t="s">
        <v>310</v>
      </c>
      <c r="D17" s="1059" t="s">
        <v>310</v>
      </c>
      <c r="E17" s="1059" t="s">
        <v>310</v>
      </c>
      <c r="F17" s="357" t="s">
        <v>315</v>
      </c>
      <c r="G17" s="357"/>
      <c r="H17" s="357"/>
      <c r="I17" s="357"/>
      <c r="J17" s="357"/>
      <c r="K17" s="335"/>
      <c r="L17" s="130"/>
      <c r="M17" s="133"/>
    </row>
    <row r="18" spans="1:13" ht="12.75">
      <c r="A18" s="335"/>
      <c r="B18" s="183" t="str">
        <f>IF('[2]MuKu'!D46="","",'[2]MuKu'!D46)</f>
        <v>Kalbin</v>
      </c>
      <c r="C18" s="340">
        <f>IF('[2]MuKu'!O47="","",'[2]MuKu'!O47)</f>
        <v>290</v>
      </c>
      <c r="D18" s="360" t="str">
        <f>IF('[2]MuKu'!O49="","",'[2]MuKu'!O49)</f>
        <v>mittel</v>
      </c>
      <c r="E18" s="361">
        <f>IF('[2]MuKu'!O51="","",'[2]MuKu'!O51)</f>
        <v>0.5</v>
      </c>
      <c r="F18" s="358">
        <f>IF(OR($J$5="",$H18=""),"",ROUND($H18*SUM(1,$J$5),2))</f>
        <v>4.72</v>
      </c>
      <c r="G18" s="358">
        <f>IF(OR($J$6="",$H18=""),"",ROUND($H18*SUM(1,$J$6),2))</f>
        <v>5.31</v>
      </c>
      <c r="H18" s="359">
        <f>IF('[2]MuKu'!R41="","",'[2]MuKu'!R41)</f>
        <v>5.9</v>
      </c>
      <c r="I18" s="358">
        <f>IF(OR($J$7="",$H18=""),"",ROUND($H18*SUM(1,$J$7),2))</f>
        <v>6.49</v>
      </c>
      <c r="J18" s="358">
        <f>IF(OR($J$8="",$H18=""),"",ROUND($H18*SUM(1,$J$8),2))</f>
        <v>7.08</v>
      </c>
      <c r="K18" s="335"/>
      <c r="L18" s="130"/>
      <c r="M18" s="133"/>
    </row>
    <row r="19" spans="1:13" ht="12.75">
      <c r="A19" s="335"/>
      <c r="B19" s="183" t="str">
        <f>IF('[2]MuKu'!F46="","",'[2]MuKu'!F46)</f>
        <v>Stier</v>
      </c>
      <c r="C19" s="340">
        <f>IF('[2]MuKu'!P47="","",'[2]MuKu'!P47)</f>
        <v>330</v>
      </c>
      <c r="D19" s="360" t="str">
        <f>IF('[2]MuKu'!P49="","",'[2]MuKu'!P49)</f>
        <v>mittel</v>
      </c>
      <c r="E19" s="361">
        <f>IF('[2]MuKu'!P51="","",'[2]MuKu'!P51)</f>
        <v>0.53</v>
      </c>
      <c r="F19" s="358">
        <f>IF(OR($J$5="",$H19=""),"",ROUND($H19*SUM(1,$J$5),2))</f>
        <v>4.96</v>
      </c>
      <c r="G19" s="358">
        <f>IF(OR($J$6="",$H19=""),"",ROUND($H19*SUM(1,$J$6),2))</f>
        <v>5.58</v>
      </c>
      <c r="H19" s="359">
        <f>IF('[2]MuKu'!R43="","",'[2]MuKu'!R43)</f>
        <v>6.2</v>
      </c>
      <c r="I19" s="358">
        <f>IF(OR($J$7="",$H19=""),"",ROUND($H19*SUM(1,$J$7),2))</f>
        <v>6.82</v>
      </c>
      <c r="J19" s="358">
        <f>IF(OR($J$8="",$H19=""),"",ROUND($H19*SUM(1,$J$8),2))</f>
        <v>7.44</v>
      </c>
      <c r="K19" s="335"/>
      <c r="L19" s="130"/>
      <c r="M19" s="133"/>
    </row>
    <row r="20" spans="1:13" ht="12.75" customHeight="1">
      <c r="A20" s="335"/>
      <c r="B20" s="362"/>
      <c r="C20" s="362"/>
      <c r="D20" s="362"/>
      <c r="E20" s="335"/>
      <c r="F20" s="363"/>
      <c r="G20" s="363"/>
      <c r="H20" s="363"/>
      <c r="I20" s="363"/>
      <c r="J20" s="363"/>
      <c r="K20" s="335"/>
      <c r="L20" s="130"/>
      <c r="M20" s="133"/>
    </row>
    <row r="21" spans="1:13" ht="12.75">
      <c r="A21" s="335"/>
      <c r="B21" s="194" t="s">
        <v>34</v>
      </c>
      <c r="C21" s="194"/>
      <c r="D21" s="194"/>
      <c r="E21" s="194"/>
      <c r="F21" s="182"/>
      <c r="G21" s="182"/>
      <c r="H21" s="182" t="s">
        <v>316</v>
      </c>
      <c r="I21" s="182"/>
      <c r="J21" s="182"/>
      <c r="K21" s="335"/>
      <c r="L21" s="130"/>
      <c r="M21" s="133"/>
    </row>
    <row r="22" spans="1:13" ht="12.75">
      <c r="A22" s="335"/>
      <c r="B22" s="249"/>
      <c r="C22" s="182"/>
      <c r="D22" s="182" t="s">
        <v>317</v>
      </c>
      <c r="E22" s="182" t="s">
        <v>276</v>
      </c>
      <c r="F22" s="364">
        <f>$I$5</f>
        <v>1</v>
      </c>
      <c r="G22" s="364">
        <f>$I$6</f>
        <v>2</v>
      </c>
      <c r="H22" s="365" t="s">
        <v>318</v>
      </c>
      <c r="I22" s="364">
        <f>$I$7</f>
        <v>4</v>
      </c>
      <c r="J22" s="364">
        <f>$I$8</f>
        <v>5</v>
      </c>
      <c r="K22" s="335"/>
      <c r="L22" s="140"/>
      <c r="M22" s="133"/>
    </row>
    <row r="23" spans="1:13" ht="12.75">
      <c r="A23" s="335"/>
      <c r="B23" s="183" t="s">
        <v>319</v>
      </c>
      <c r="C23" s="366"/>
      <c r="D23" s="710">
        <f>IF(C18="","",C18)</f>
        <v>290</v>
      </c>
      <c r="E23" s="713">
        <f>H11*I11-D29</f>
        <v>0.2833333333333333</v>
      </c>
      <c r="F23" s="371">
        <f>IF(OR($E$23="",$D$23="",$E$18="",F18=""),"",($E$23*$D$23)*$E$18*F18)</f>
        <v>193.91333333333333</v>
      </c>
      <c r="G23" s="369">
        <f>IF(OR($E$23="",$D$23="",$E$18="",G18=""),"",($E$23*$D$23)*$E$18*G18)</f>
        <v>218.1525</v>
      </c>
      <c r="H23" s="425">
        <f>D23*E23*E18*H18</f>
        <v>242.3916666666667</v>
      </c>
      <c r="I23" s="371">
        <f>IF(OR($E$23="",$D$23="",$E$18="",I18=""),"",($E$23*$D$23)*$E$18*I18)</f>
        <v>266.6308333333334</v>
      </c>
      <c r="J23" s="368">
        <f>IF(OR($E$23="",$D$23="",$E$18="",J18=""),"",($E$23*$D$23)*$E$18*J18)</f>
        <v>290.87</v>
      </c>
      <c r="K23" s="335"/>
      <c r="L23" s="130"/>
      <c r="M23" s="133"/>
    </row>
    <row r="24" spans="1:13" ht="12.75">
      <c r="A24" s="335"/>
      <c r="B24" s="183" t="s">
        <v>320</v>
      </c>
      <c r="C24" s="366"/>
      <c r="D24" s="711">
        <f>IF(C19="","",C19)</f>
        <v>330</v>
      </c>
      <c r="E24" s="714">
        <f>H11*J11</f>
        <v>0.45</v>
      </c>
      <c r="F24" s="371">
        <f>IF(OR($E$24="",$D$24="",$E$19="",F19=""),"",($E$24*$D$24)*$E$19*F19)</f>
        <v>390.3768</v>
      </c>
      <c r="G24" s="369">
        <f>IF(OR($E$24="",$D$24="",$E$19="",G19=""),"",($E$24*$D$24)*$E$19*G19)</f>
        <v>439.1739</v>
      </c>
      <c r="H24" s="425">
        <f>D24*E24*E19*H19</f>
        <v>487.971</v>
      </c>
      <c r="I24" s="371">
        <f>IF(OR($E$24="",$D$24="",$E$19="",I19=""),"",($E$24*$D$24)*$E$19*I19)</f>
        <v>536.7681</v>
      </c>
      <c r="J24" s="368">
        <f>IF(OR($E$24="",$D$24="",$E$19="",J19=""),"",($E$24*$D$24)*$E$19*J19)</f>
        <v>585.5652</v>
      </c>
      <c r="K24" s="335"/>
      <c r="L24" s="130"/>
      <c r="M24" s="133"/>
    </row>
    <row r="25" spans="1:13" ht="13.5" thickBot="1">
      <c r="A25" s="335"/>
      <c r="B25" s="183" t="s">
        <v>271</v>
      </c>
      <c r="C25" s="366"/>
      <c r="D25" s="710">
        <f>IF(H8="","",H8)</f>
        <v>630</v>
      </c>
      <c r="E25" s="713">
        <f>1/H9</f>
        <v>0.16666666666666666</v>
      </c>
      <c r="F25" s="371">
        <f>IF(OR($D$25="",$E$25="",F15=""),"",$D$25*$E$25*F15)</f>
        <v>92.4</v>
      </c>
      <c r="G25" s="369">
        <f>IF(OR($D$25="",$E$25="",G15=""),"",$D$25*$E$25*G15)</f>
        <v>103.95</v>
      </c>
      <c r="H25" s="715">
        <f>D25*E25*H15</f>
        <v>115.50000000000001</v>
      </c>
      <c r="I25" s="371">
        <f>IF(OR($D$25="",$E$25="",I15=""),"",$D$25*$E$25*I15)</f>
        <v>127.05</v>
      </c>
      <c r="J25" s="368">
        <f>IF(OR($D$25="",$E$25="",J15=""),"",$D$25*$E$25*J15)</f>
        <v>138.6</v>
      </c>
      <c r="K25" s="335"/>
      <c r="L25" s="130"/>
      <c r="M25" s="133"/>
    </row>
    <row r="26" spans="1:13" ht="13.5" thickBot="1">
      <c r="A26" s="335"/>
      <c r="B26" s="200" t="s">
        <v>273</v>
      </c>
      <c r="C26" s="200"/>
      <c r="D26" s="200"/>
      <c r="E26" s="200"/>
      <c r="F26" s="372">
        <f>SUM(F23:F25)</f>
        <v>676.6901333333333</v>
      </c>
      <c r="G26" s="373">
        <f>SUM(G23:G25)</f>
        <v>761.2764000000001</v>
      </c>
      <c r="H26" s="374"/>
      <c r="I26" s="375">
        <f>SUM(I23:I25)</f>
        <v>930.4489333333333</v>
      </c>
      <c r="J26" s="372">
        <f>SUM(J23:J25)</f>
        <v>1015.0352</v>
      </c>
      <c r="K26" s="335"/>
      <c r="L26" s="130"/>
      <c r="M26" s="133"/>
    </row>
    <row r="27" spans="1:13" ht="3.75" customHeight="1">
      <c r="A27" s="335"/>
      <c r="B27" s="362"/>
      <c r="C27" s="362"/>
      <c r="D27" s="362"/>
      <c r="E27" s="362"/>
      <c r="F27" s="362"/>
      <c r="G27" s="362"/>
      <c r="H27" s="376"/>
      <c r="I27" s="362"/>
      <c r="J27" s="362"/>
      <c r="K27" s="335"/>
      <c r="L27" s="130"/>
      <c r="M27" s="133"/>
    </row>
    <row r="28" spans="1:13" ht="12.75">
      <c r="A28" s="335"/>
      <c r="B28" s="194" t="s">
        <v>60</v>
      </c>
      <c r="C28" s="337"/>
      <c r="D28" s="182" t="s">
        <v>276</v>
      </c>
      <c r="E28" s="194" t="s">
        <v>321</v>
      </c>
      <c r="F28" s="364">
        <f>$I$5</f>
        <v>1</v>
      </c>
      <c r="G28" s="364">
        <f>$I$6</f>
        <v>2</v>
      </c>
      <c r="H28" s="365" t="s">
        <v>318</v>
      </c>
      <c r="I28" s="364">
        <f>$I$7</f>
        <v>4</v>
      </c>
      <c r="J28" s="364">
        <f>$I$8</f>
        <v>5</v>
      </c>
      <c r="K28" s="335"/>
      <c r="L28" s="130"/>
      <c r="M28" s="133"/>
    </row>
    <row r="29" spans="1:13" ht="13.5" thickBot="1">
      <c r="A29" s="335"/>
      <c r="B29" s="183" t="s">
        <v>322</v>
      </c>
      <c r="C29" s="366"/>
      <c r="D29" s="713">
        <f>1/H9</f>
        <v>0.16666666666666666</v>
      </c>
      <c r="E29" s="377"/>
      <c r="F29" s="368">
        <f>IF(OR(F23="",$E$23="",$D$29=""),"",F23/$E$23*$D$29)</f>
        <v>114.06666666666666</v>
      </c>
      <c r="G29" s="369">
        <f>IF(OR(G23="",$E$23="",$D$29=""),"",G23/$E$23*$D$29)</f>
        <v>128.325</v>
      </c>
      <c r="H29" s="715">
        <f>D23*D29*E18*H18</f>
        <v>142.58333333333331</v>
      </c>
      <c r="I29" s="371">
        <f>IF(OR(I23="",$E$23="",$D$29=""),"",I23/$E$23*$D$29)</f>
        <v>156.8416666666667</v>
      </c>
      <c r="J29" s="368">
        <f>IF(OR(J23="",$E$23="",$D$29=""),"",J23/$E$23*$D$29)</f>
        <v>171.10000000000002</v>
      </c>
      <c r="K29" s="335"/>
      <c r="L29" s="142"/>
      <c r="M29" s="133"/>
    </row>
    <row r="30" spans="1:13" ht="13.5" thickBot="1">
      <c r="A30" s="335"/>
      <c r="B30" s="183" t="str">
        <f>IF('[2]MuKu'!B56="","",'[2]MuKu'!B56)</f>
        <v>KF-Gaben </v>
      </c>
      <c r="C30" s="366"/>
      <c r="D30" s="378">
        <f>IF('[2]MuKu'!O56="","",'[2]MuKu'!O56)</f>
        <v>42</v>
      </c>
      <c r="E30" s="379">
        <f>IF('[2]MuKu'!P56="","",'[2]MuKu'!P56)</f>
        <v>0.22</v>
      </c>
      <c r="F30" s="368">
        <f>IF(OR($D$30="",$E$30=""),"",$D$30*$E$30)</f>
        <v>9.24</v>
      </c>
      <c r="G30" s="369">
        <f>IF(OR($D$30="",$E$30=""),"",$D$30*$E$30)</f>
        <v>9.24</v>
      </c>
      <c r="H30" s="370"/>
      <c r="I30" s="371">
        <f>IF(OR($D$30="",$E$30=""),"",$D$30*$E$30)</f>
        <v>9.24</v>
      </c>
      <c r="J30" s="368">
        <f>IF(OR($D$30="",$E$30=""),"",$D$30*$E$30)</f>
        <v>9.24</v>
      </c>
      <c r="K30" s="335"/>
      <c r="L30" s="142"/>
      <c r="M30" s="133"/>
    </row>
    <row r="31" spans="1:13" ht="13.5" thickBot="1">
      <c r="A31" s="335"/>
      <c r="B31" s="183" t="str">
        <f>IF('[2]MuKu'!B58="","",'[2]MuKu'!B58)</f>
        <v>Mineralstoffe</v>
      </c>
      <c r="C31" s="366"/>
      <c r="D31" s="367">
        <f>IF('[2]MuKu'!O58="","",'[2]MuKu'!O58)</f>
        <v>11</v>
      </c>
      <c r="E31" s="379">
        <f>IF('[2]MuKu'!P58="","",'[2]MuKu'!P58)</f>
        <v>0.9</v>
      </c>
      <c r="F31" s="368">
        <f>IF(OR($D$31="",$E$31=""),"",$D$31*$E$31)</f>
        <v>9.9</v>
      </c>
      <c r="G31" s="369">
        <f>IF(OR($D$31="",$E$31=""),"",$D$31*$E$31)</f>
        <v>9.9</v>
      </c>
      <c r="H31" s="370"/>
      <c r="I31" s="371">
        <f>IF(OR($D$31="",$E$31=""),"",$D$31*$E$31)</f>
        <v>9.9</v>
      </c>
      <c r="J31" s="368">
        <f>IF(OR($D$31="",$E$31=""),"",$D$31*$E$31)</f>
        <v>9.9</v>
      </c>
      <c r="K31" s="335"/>
      <c r="L31" s="142"/>
      <c r="M31" s="133"/>
    </row>
    <row r="32" spans="1:13" ht="12.75">
      <c r="A32" s="335"/>
      <c r="B32" s="183" t="str">
        <f>IF('[2]MuKu'!B60="","",'[2]MuKu'!B60)</f>
        <v>Tierarzt Med.</v>
      </c>
      <c r="C32" s="366"/>
      <c r="D32" s="380"/>
      <c r="E32" s="379">
        <f>IF('[2]MuKu'!P60="","",'[2]MuKu'!P60)</f>
        <v>17</v>
      </c>
      <c r="F32" s="368">
        <f>$E$32</f>
        <v>17</v>
      </c>
      <c r="G32" s="369">
        <f>$E$32</f>
        <v>17</v>
      </c>
      <c r="H32" s="716">
        <f>E32</f>
        <v>17</v>
      </c>
      <c r="I32" s="371">
        <f>$E$32</f>
        <v>17</v>
      </c>
      <c r="J32" s="368">
        <f>$E$32</f>
        <v>17</v>
      </c>
      <c r="K32" s="335"/>
      <c r="L32" s="130"/>
      <c r="M32" s="133"/>
    </row>
    <row r="33" spans="1:13" ht="12.75">
      <c r="A33" s="335"/>
      <c r="B33" s="183" t="str">
        <f>IF('[2]MuKu'!B62="","",'[2]MuKu'!B62)</f>
        <v>Deckgeld</v>
      </c>
      <c r="C33" s="366"/>
      <c r="D33" s="381"/>
      <c r="E33" s="382">
        <f>IF('[2]MuKu'!P62="","",'[2]MuKu'!P62)</f>
        <v>30</v>
      </c>
      <c r="F33" s="368">
        <f>$E$33</f>
        <v>30</v>
      </c>
      <c r="G33" s="369">
        <f>$E$33</f>
        <v>30</v>
      </c>
      <c r="H33" s="425">
        <f>E33</f>
        <v>30</v>
      </c>
      <c r="I33" s="371">
        <f>$E$33</f>
        <v>30</v>
      </c>
      <c r="J33" s="368">
        <f>$E$33</f>
        <v>30</v>
      </c>
      <c r="K33" s="335"/>
      <c r="L33" s="130"/>
      <c r="M33" s="133"/>
    </row>
    <row r="34" spans="1:13" ht="13.5" thickBot="1">
      <c r="A34" s="335"/>
      <c r="B34" s="183" t="str">
        <f>IF('[2]MuKu'!B64="","",'[2]MuKu'!B64)</f>
        <v>Versicherung</v>
      </c>
      <c r="C34" s="366"/>
      <c r="D34" s="1137">
        <v>0.03</v>
      </c>
      <c r="E34" s="1138"/>
      <c r="F34" s="371">
        <f>IF(F26="","",F26*$D$34)</f>
        <v>20.300703999999996</v>
      </c>
      <c r="G34" s="369">
        <f>IF(G26="","",G26*$D$34)</f>
        <v>22.838292000000003</v>
      </c>
      <c r="H34" s="425">
        <f>D34*H26</f>
        <v>0</v>
      </c>
      <c r="I34" s="371">
        <f>IF(I26="","",I26*$D$34)</f>
        <v>27.913467999999998</v>
      </c>
      <c r="J34" s="368">
        <f>IF(J26="","",J26*$D$34)</f>
        <v>30.451056</v>
      </c>
      <c r="K34" s="335"/>
      <c r="L34" s="130"/>
      <c r="M34" s="133"/>
    </row>
    <row r="35" spans="1:13" ht="13.5" thickBot="1">
      <c r="A35" s="335"/>
      <c r="B35" s="183" t="str">
        <f>IF('[2]MuKu'!K56="","",'[2]MuKu'!K56)</f>
        <v>Beiträge</v>
      </c>
      <c r="C35" s="366"/>
      <c r="D35" s="383"/>
      <c r="E35" s="384">
        <f>IF('[2]MuKu'!R56="","",'[2]MuKu'!R56)</f>
        <v>14</v>
      </c>
      <c r="F35" s="368">
        <f>$E$35</f>
        <v>14</v>
      </c>
      <c r="G35" s="369">
        <f>$E$35</f>
        <v>14</v>
      </c>
      <c r="H35" s="370"/>
      <c r="I35" s="371">
        <f>$E$35</f>
        <v>14</v>
      </c>
      <c r="J35" s="368">
        <f>$E$35</f>
        <v>14</v>
      </c>
      <c r="K35" s="335"/>
      <c r="L35" s="130"/>
      <c r="M35" s="133"/>
    </row>
    <row r="36" spans="1:13" ht="13.5" thickBot="1">
      <c r="A36" s="335"/>
      <c r="B36" s="183" t="str">
        <f>IF('[2]MuKu'!K58="","",'[2]MuKu'!K58)</f>
        <v>Sonstige Kosten</v>
      </c>
      <c r="C36" s="366"/>
      <c r="D36" s="380"/>
      <c r="E36" s="379">
        <f>IF('[2]MuKu'!R58="","",'[2]MuKu'!R58)</f>
        <v>48</v>
      </c>
      <c r="F36" s="368">
        <f>$E$36</f>
        <v>48</v>
      </c>
      <c r="G36" s="369">
        <f>$E$36</f>
        <v>48</v>
      </c>
      <c r="H36" s="370"/>
      <c r="I36" s="371">
        <f>$E$36</f>
        <v>48</v>
      </c>
      <c r="J36" s="368">
        <f>$E$36</f>
        <v>48</v>
      </c>
      <c r="K36" s="335"/>
      <c r="L36" s="130"/>
      <c r="M36" s="133"/>
    </row>
    <row r="37" spans="1:13" ht="13.5" thickBot="1">
      <c r="A37" s="335"/>
      <c r="B37" s="183" t="str">
        <f>IF('[2]MuKu'!K60="","",'[2]MuKu'!K60)</f>
        <v>Alpung, Transportkosten....</v>
      </c>
      <c r="C37" s="366"/>
      <c r="D37" s="380"/>
      <c r="E37" s="379">
        <f>IF('[2]MuKu'!R60="","",'[2]MuKu'!R60)</f>
        <v>32</v>
      </c>
      <c r="F37" s="368">
        <f>$E$37</f>
        <v>32</v>
      </c>
      <c r="G37" s="369">
        <f>$E$37</f>
        <v>32</v>
      </c>
      <c r="H37" s="370"/>
      <c r="I37" s="371">
        <f>$E$37</f>
        <v>32</v>
      </c>
      <c r="J37" s="368">
        <f>$E$37</f>
        <v>32</v>
      </c>
      <c r="K37" s="385"/>
      <c r="L37" s="130"/>
      <c r="M37" s="133"/>
    </row>
    <row r="38" spans="1:13" ht="12.75">
      <c r="A38" s="335"/>
      <c r="B38" s="183" t="str">
        <f>IF('[2]MuKu'!K62="","",'[2]MuKu'!K62)</f>
        <v>Schlachtung</v>
      </c>
      <c r="C38" s="366"/>
      <c r="D38" s="380"/>
      <c r="E38" s="379">
        <f>IF('[2]MuKu'!R62="","",'[2]MuKu'!R62)</f>
        <v>41</v>
      </c>
      <c r="F38" s="368">
        <f>$E$38</f>
        <v>41</v>
      </c>
      <c r="G38" s="369">
        <f>$E$38</f>
        <v>41</v>
      </c>
      <c r="H38" s="425">
        <f>E38</f>
        <v>41</v>
      </c>
      <c r="I38" s="371">
        <f>$E$38</f>
        <v>41</v>
      </c>
      <c r="J38" s="368">
        <f>$E$38</f>
        <v>41</v>
      </c>
      <c r="K38" s="385"/>
      <c r="L38" s="130"/>
      <c r="M38" s="133"/>
    </row>
    <row r="39" spans="1:13" ht="13.5" thickBot="1">
      <c r="A39" s="335"/>
      <c r="B39" s="183" t="str">
        <f>IF('[2]MuKu'!K64="","",'[2]MuKu'!K64)</f>
        <v>Mischpakete </v>
      </c>
      <c r="C39" s="366"/>
      <c r="D39" s="380"/>
      <c r="E39" s="379">
        <f>IF('[2]MuKu'!R64="","",'[2]MuKu'!R64)</f>
        <v>33</v>
      </c>
      <c r="F39" s="368">
        <f>$E$39</f>
        <v>33</v>
      </c>
      <c r="G39" s="369">
        <f>$E$39</f>
        <v>33</v>
      </c>
      <c r="H39" s="715">
        <f>E39</f>
        <v>33</v>
      </c>
      <c r="I39" s="371">
        <f>$E$39</f>
        <v>33</v>
      </c>
      <c r="J39" s="368">
        <f>$E$39</f>
        <v>33</v>
      </c>
      <c r="K39" s="335"/>
      <c r="L39" s="130"/>
      <c r="M39" s="133"/>
    </row>
    <row r="40" spans="1:13" ht="13.5" thickBot="1">
      <c r="A40" s="335"/>
      <c r="B40" s="200" t="s">
        <v>277</v>
      </c>
      <c r="C40" s="200"/>
      <c r="D40" s="200"/>
      <c r="E40" s="200"/>
      <c r="F40" s="372">
        <f>SUM(F29:F39)</f>
        <v>368.50737066666665</v>
      </c>
      <c r="G40" s="373">
        <f>SUM(G29:G39)</f>
        <v>385.303292</v>
      </c>
      <c r="H40" s="374"/>
      <c r="I40" s="375">
        <f>SUM(I29:I39)</f>
        <v>418.8951346666667</v>
      </c>
      <c r="J40" s="372">
        <f>SUM(J29:J39)</f>
        <v>435.69105600000006</v>
      </c>
      <c r="K40" s="335"/>
      <c r="L40" s="130"/>
      <c r="M40" s="133"/>
    </row>
    <row r="41" spans="1:13" ht="13.5" thickBot="1">
      <c r="A41" s="335"/>
      <c r="B41" s="257" t="s">
        <v>323</v>
      </c>
      <c r="C41" s="258"/>
      <c r="D41" s="258"/>
      <c r="E41" s="258"/>
      <c r="F41" s="386">
        <f>IF(OR(F26="",F40=""),"",F26-F40)</f>
        <v>308.18276266666663</v>
      </c>
      <c r="G41" s="387">
        <f>IF(OR(G26="",G40=""),"",G26-G40)</f>
        <v>375.9731080000001</v>
      </c>
      <c r="H41" s="388"/>
      <c r="I41" s="389">
        <f>IF(OR(I26="",I40=""),"",I26-I40)</f>
        <v>511.55379866666664</v>
      </c>
      <c r="J41" s="386">
        <f>IF(OR(J26="",J40=""),"",J26-J40)</f>
        <v>579.3441439999999</v>
      </c>
      <c r="K41" s="335"/>
      <c r="L41" s="130"/>
      <c r="M41" s="133"/>
    </row>
    <row r="42" spans="1:13" ht="3.75" customHeight="1">
      <c r="A42" s="335"/>
      <c r="B42" s="362"/>
      <c r="C42" s="362"/>
      <c r="D42" s="362"/>
      <c r="E42" s="362"/>
      <c r="F42" s="362"/>
      <c r="G42" s="362"/>
      <c r="H42" s="376"/>
      <c r="I42" s="362"/>
      <c r="J42" s="362"/>
      <c r="K42" s="335"/>
      <c r="L42" s="130"/>
      <c r="M42" s="133"/>
    </row>
    <row r="43" spans="1:13" ht="12.75">
      <c r="A43" s="335"/>
      <c r="B43" s="194" t="s">
        <v>324</v>
      </c>
      <c r="C43" s="349"/>
      <c r="D43" s="349"/>
      <c r="E43" s="349"/>
      <c r="F43" s="364">
        <f>$I$5</f>
        <v>1</v>
      </c>
      <c r="G43" s="364">
        <f>$I$6</f>
        <v>2</v>
      </c>
      <c r="H43" s="365" t="s">
        <v>318</v>
      </c>
      <c r="I43" s="364">
        <f>$I$7</f>
        <v>4</v>
      </c>
      <c r="J43" s="364">
        <f>$I$8</f>
        <v>5</v>
      </c>
      <c r="K43" s="335"/>
      <c r="L43" s="130"/>
      <c r="M43" s="133"/>
    </row>
    <row r="44" spans="1:13" ht="12.75">
      <c r="A44" s="335"/>
      <c r="B44" s="183" t="str">
        <f>IF('[2]MuKu'!B67="","",'[2]MuKu'!B67)</f>
        <v>Variable Kosten je MJ NEL</v>
      </c>
      <c r="C44" s="366"/>
      <c r="D44" s="390">
        <f>IF(D10="","",D10)</f>
        <v>25601.10842841847</v>
      </c>
      <c r="E44" s="391">
        <f>IF('[2]MuKu'!P67="","",'[2]MuKu'!P67)</f>
        <v>0.015</v>
      </c>
      <c r="F44" s="368">
        <f>IF(OR($D$44="",$E$44=""),"",$D$44*$E$44)</f>
        <v>384.016626426277</v>
      </c>
      <c r="G44" s="369">
        <f>IF(OR($D$44="",$E$44=""),"",$D$44*$E$44)</f>
        <v>384.016626426277</v>
      </c>
      <c r="H44" s="715">
        <f>IF(OR(D44="",E44=""),"noch leer",D44*E44)</f>
        <v>384.016626426277</v>
      </c>
      <c r="I44" s="371">
        <f>IF(OR($D$44="",$E$44=""),"",$D$44*$E$44)</f>
        <v>384.016626426277</v>
      </c>
      <c r="J44" s="368">
        <f>IF(OR($D$44="",$E$44=""),"",$D$44*$E$44)</f>
        <v>384.016626426277</v>
      </c>
      <c r="K44" s="335"/>
      <c r="L44" s="130"/>
      <c r="M44" s="133"/>
    </row>
    <row r="45" spans="1:13" ht="12.75">
      <c r="A45" s="335"/>
      <c r="B45" s="257" t="s">
        <v>325</v>
      </c>
      <c r="C45" s="258"/>
      <c r="D45" s="258"/>
      <c r="E45" s="258"/>
      <c r="F45" s="386">
        <f>IF(OR(F41="",F44=""),"",F41-F44)</f>
        <v>-75.83386375961038</v>
      </c>
      <c r="G45" s="387">
        <f>IF(OR(G41="",G44=""),"",G41-G44)</f>
        <v>-8.043518426276933</v>
      </c>
      <c r="H45" s="908" t="str">
        <f>IF(OR(H41="",H44=""),"noch leer",H41-H44)</f>
        <v>noch leer</v>
      </c>
      <c r="I45" s="389">
        <f>IF(OR(I41="",I44=""),"",I41-I44)</f>
        <v>127.53717224038962</v>
      </c>
      <c r="J45" s="386">
        <f>IF(OR(J41="",J44=""),"",J41-J44)</f>
        <v>195.3275175737229</v>
      </c>
      <c r="K45" s="335"/>
      <c r="L45" s="130"/>
      <c r="M45" s="133"/>
    </row>
    <row r="46" spans="1:13" ht="3.75" customHeight="1">
      <c r="A46" s="335"/>
      <c r="B46" s="362"/>
      <c r="C46" s="362"/>
      <c r="D46" s="362"/>
      <c r="E46" s="362"/>
      <c r="F46" s="362"/>
      <c r="G46" s="362"/>
      <c r="H46" s="376"/>
      <c r="I46" s="362"/>
      <c r="J46" s="362"/>
      <c r="K46" s="335"/>
      <c r="L46" s="130"/>
      <c r="M46" s="133"/>
    </row>
    <row r="47" spans="1:13" ht="12.75">
      <c r="A47" s="335"/>
      <c r="B47" s="194" t="s">
        <v>170</v>
      </c>
      <c r="C47" s="182"/>
      <c r="D47" s="182"/>
      <c r="E47" s="182" t="s">
        <v>188</v>
      </c>
      <c r="F47" s="364">
        <f>$I$5</f>
        <v>1</v>
      </c>
      <c r="G47" s="364">
        <f>$I$6</f>
        <v>2</v>
      </c>
      <c r="H47" s="365" t="s">
        <v>318</v>
      </c>
      <c r="I47" s="364">
        <f>$I$7</f>
        <v>4</v>
      </c>
      <c r="J47" s="364">
        <f>$I$8</f>
        <v>5</v>
      </c>
      <c r="K47" s="335"/>
      <c r="L47" s="130"/>
      <c r="M47" s="133"/>
    </row>
    <row r="48" spans="1:13" ht="12.75">
      <c r="A48" s="335"/>
      <c r="B48" s="210" t="str">
        <f>IF('[2]MuKu'!B71="","",'[2]MuKu'!B71)</f>
        <v>Mutterkuhprämie</v>
      </c>
      <c r="C48" s="214"/>
      <c r="D48" s="214"/>
      <c r="E48" s="379">
        <f>IF('[2]MuKu'!O71="","",'[2]MuKu'!O71)</f>
        <v>230</v>
      </c>
      <c r="F48" s="368">
        <f aca="true" t="shared" si="0" ref="F48:G50">IF($E48="","",$E48)</f>
        <v>230</v>
      </c>
      <c r="G48" s="369">
        <f t="shared" si="0"/>
        <v>230</v>
      </c>
      <c r="H48" s="425">
        <f>E48</f>
        <v>230</v>
      </c>
      <c r="I48" s="371">
        <f aca="true" t="shared" si="1" ref="I48:J50">IF($E48="","",$E48)</f>
        <v>230</v>
      </c>
      <c r="J48" s="368">
        <f t="shared" si="1"/>
        <v>230</v>
      </c>
      <c r="K48" s="335"/>
      <c r="L48" s="130"/>
      <c r="M48" s="717"/>
    </row>
    <row r="49" spans="1:13" ht="12.75">
      <c r="A49" s="335"/>
      <c r="B49" s="210" t="str">
        <f>IF('[2]MuKu'!B73="","",'[2]MuKu'!B73)</f>
        <v>Schlachtprämie</v>
      </c>
      <c r="C49" s="214"/>
      <c r="D49" s="214"/>
      <c r="E49" s="379">
        <f>IF('[2]MuKu'!O73="","",'[2]MuKu'!O73)</f>
        <v>50</v>
      </c>
      <c r="F49" s="368">
        <f t="shared" si="0"/>
        <v>50</v>
      </c>
      <c r="G49" s="369">
        <f t="shared" si="0"/>
        <v>50</v>
      </c>
      <c r="H49" s="425">
        <f>E49</f>
        <v>50</v>
      </c>
      <c r="I49" s="371">
        <f t="shared" si="1"/>
        <v>50</v>
      </c>
      <c r="J49" s="368">
        <f t="shared" si="1"/>
        <v>50</v>
      </c>
      <c r="K49" s="335"/>
      <c r="L49" s="130"/>
      <c r="M49" s="717"/>
    </row>
    <row r="50" spans="1:13" ht="12.75">
      <c r="A50" s="335"/>
      <c r="B50" s="210" t="str">
        <f>IF('[2]MuKu'!B75="","",'[2]MuKu'!B75)</f>
        <v>Gefährdete Tierrassen</v>
      </c>
      <c r="C50" s="214"/>
      <c r="D50" s="214"/>
      <c r="E50" s="379">
        <f>IF('[2]MuKu'!O75="","",'[2]MuKu'!O75)</f>
        <v>20</v>
      </c>
      <c r="F50" s="368">
        <f t="shared" si="0"/>
        <v>20</v>
      </c>
      <c r="G50" s="369">
        <f t="shared" si="0"/>
        <v>20</v>
      </c>
      <c r="H50" s="715">
        <f>E50</f>
        <v>20</v>
      </c>
      <c r="I50" s="371">
        <f t="shared" si="1"/>
        <v>20</v>
      </c>
      <c r="J50" s="368">
        <f t="shared" si="1"/>
        <v>20</v>
      </c>
      <c r="K50" s="335"/>
      <c r="L50" s="130"/>
      <c r="M50" s="717"/>
    </row>
    <row r="51" spans="1:13" ht="12.75">
      <c r="A51" s="335"/>
      <c r="B51" s="257" t="s">
        <v>326</v>
      </c>
      <c r="C51" s="258"/>
      <c r="D51" s="258"/>
      <c r="E51" s="258"/>
      <c r="F51" s="386">
        <f>IF(F45="","",SUM(F45,F48:F50))</f>
        <v>224.16613624038962</v>
      </c>
      <c r="G51" s="387">
        <f>IF(G45="","",SUM(G45,G48:G50))</f>
        <v>291.95648157372307</v>
      </c>
      <c r="H51" s="908" t="str">
        <f>IF(H45="noch leer","noch leer",SUM(H45,H48:H50))</f>
        <v>noch leer</v>
      </c>
      <c r="I51" s="389">
        <f>IF(I45="","",SUM(I45,I48:I50))</f>
        <v>427.5371722403896</v>
      </c>
      <c r="J51" s="386">
        <f>IF(J45="","",SUM(J45,J48:J50))</f>
        <v>495.3275175737229</v>
      </c>
      <c r="K51" s="335"/>
      <c r="L51" s="130"/>
      <c r="M51" s="717"/>
    </row>
    <row r="52" spans="1:13" ht="3.75" customHeight="1">
      <c r="A52" s="335"/>
      <c r="B52" s="362"/>
      <c r="C52" s="362"/>
      <c r="D52" s="362"/>
      <c r="E52" s="362"/>
      <c r="F52" s="362"/>
      <c r="G52" s="362"/>
      <c r="H52" s="376"/>
      <c r="I52" s="362"/>
      <c r="J52" s="362"/>
      <c r="K52" s="335"/>
      <c r="L52" s="130"/>
      <c r="M52" s="717"/>
    </row>
    <row r="53" spans="1:13" ht="12.75">
      <c r="A53" s="335"/>
      <c r="B53" s="194" t="s">
        <v>327</v>
      </c>
      <c r="C53" s="182"/>
      <c r="D53" s="182"/>
      <c r="E53" s="349"/>
      <c r="F53" s="364">
        <f>$I$5</f>
        <v>1</v>
      </c>
      <c r="G53" s="364">
        <f>$I$6</f>
        <v>2</v>
      </c>
      <c r="H53" s="365" t="s">
        <v>318</v>
      </c>
      <c r="I53" s="364">
        <f>$I$7</f>
        <v>4</v>
      </c>
      <c r="J53" s="364">
        <f>$I$8</f>
        <v>5</v>
      </c>
      <c r="K53" s="335"/>
      <c r="L53" s="130"/>
      <c r="M53" s="717"/>
    </row>
    <row r="54" spans="1:13" ht="12.75">
      <c r="A54" s="335"/>
      <c r="B54" s="183" t="str">
        <f>IF('[2]MuKu'!F71="","",'[2]MuKu'!F71)</f>
        <v>Stallarbeit</v>
      </c>
      <c r="C54" s="392"/>
      <c r="D54" s="392"/>
      <c r="E54" s="393">
        <f>IF('[2]MuKu'!Q71="","",'[2]MuKu'!Q71)</f>
        <v>30</v>
      </c>
      <c r="F54" s="394"/>
      <c r="G54" s="394"/>
      <c r="H54" s="395"/>
      <c r="I54" s="394"/>
      <c r="J54" s="394"/>
      <c r="K54" s="335"/>
      <c r="L54" s="130"/>
      <c r="M54" s="717"/>
    </row>
    <row r="55" spans="1:13" ht="12.75">
      <c r="A55" s="335"/>
      <c r="B55" s="183" t="str">
        <f>IF('[2]MuKu'!F73="","",'[2]MuKu'!F73)</f>
        <v>Außenwirtschaft</v>
      </c>
      <c r="C55" s="392"/>
      <c r="D55" s="392"/>
      <c r="E55" s="393">
        <f>IF('[2]MuKu'!Q73="","",'[2]MuKu'!Q73)</f>
        <v>14</v>
      </c>
      <c r="F55" s="394"/>
      <c r="G55" s="394"/>
      <c r="H55" s="395"/>
      <c r="I55" s="394"/>
      <c r="J55" s="394"/>
      <c r="K55" s="335"/>
      <c r="L55" s="130"/>
      <c r="M55" s="717"/>
    </row>
    <row r="56" spans="1:13" ht="12.75">
      <c r="A56" s="335"/>
      <c r="B56" s="183" t="str">
        <f>IF('[2]MuKu'!F75="","",'[2]MuKu'!F75)</f>
        <v>Selbstvermarktung</v>
      </c>
      <c r="C56" s="392"/>
      <c r="D56" s="392"/>
      <c r="E56" s="396">
        <f>IF('[2]MuKu'!Q75="","",'[2]MuKu'!Q75)</f>
        <v>4</v>
      </c>
      <c r="F56" s="394"/>
      <c r="G56" s="394"/>
      <c r="H56" s="395"/>
      <c r="I56" s="394"/>
      <c r="J56" s="394"/>
      <c r="K56" s="335"/>
      <c r="L56" s="130"/>
      <c r="M56" s="717"/>
    </row>
    <row r="57" spans="1:13" ht="13.5" thickBot="1">
      <c r="A57" s="335"/>
      <c r="B57" s="183"/>
      <c r="C57" s="392"/>
      <c r="D57" s="397" t="s">
        <v>328</v>
      </c>
      <c r="E57" s="393">
        <f>SUM(E54:E56)</f>
        <v>48</v>
      </c>
      <c r="F57" s="394"/>
      <c r="G57" s="394"/>
      <c r="H57" s="395"/>
      <c r="I57" s="394"/>
      <c r="J57" s="394"/>
      <c r="K57" s="335"/>
      <c r="L57" s="130"/>
      <c r="M57" s="133"/>
    </row>
    <row r="58" spans="1:13" ht="13.5" thickBot="1">
      <c r="A58" s="335"/>
      <c r="B58" s="398"/>
      <c r="C58" s="399"/>
      <c r="D58" s="399"/>
      <c r="E58" s="399" t="s">
        <v>329</v>
      </c>
      <c r="F58" s="400">
        <f>IF($E$57="","",F51/$E$57)</f>
        <v>4.67012783834145</v>
      </c>
      <c r="G58" s="401">
        <f>IF($E$57="","",G51/$E$57)</f>
        <v>6.082426699452564</v>
      </c>
      <c r="H58" s="402"/>
      <c r="I58" s="403">
        <f>IF($E$57="","",I51/$E$57)</f>
        <v>8.907024421674784</v>
      </c>
      <c r="J58" s="400">
        <f>IF($E$57="","",J51/$E$57)</f>
        <v>10.319323282785893</v>
      </c>
      <c r="K58" s="335"/>
      <c r="L58" s="130"/>
      <c r="M58" s="133"/>
    </row>
    <row r="59" spans="1:13" ht="12.75">
      <c r="A59" s="335"/>
      <c r="B59" s="335"/>
      <c r="C59" s="335"/>
      <c r="D59" s="335"/>
      <c r="E59" s="335"/>
      <c r="F59" s="335"/>
      <c r="G59" s="335"/>
      <c r="H59" s="335"/>
      <c r="I59" s="335"/>
      <c r="J59" s="335"/>
      <c r="K59" s="335"/>
      <c r="L59" s="130"/>
      <c r="M59" s="133"/>
    </row>
    <row r="60" spans="12:13" ht="12.75" hidden="1">
      <c r="L60" s="18"/>
      <c r="M60" s="220"/>
    </row>
    <row r="61" spans="2:13" ht="12.75" hidden="1">
      <c r="B61" s="404"/>
      <c r="C61" s="404"/>
      <c r="D61" s="404"/>
      <c r="E61" s="404"/>
      <c r="F61" s="404"/>
      <c r="G61" s="404"/>
      <c r="H61" s="404"/>
      <c r="I61" s="404"/>
      <c r="J61" s="404"/>
      <c r="L61" s="18"/>
      <c r="M61" s="220"/>
    </row>
    <row r="62" spans="2:13" ht="12.75" hidden="1">
      <c r="B62" s="404"/>
      <c r="C62" s="404"/>
      <c r="D62" s="404"/>
      <c r="E62" s="404"/>
      <c r="F62" s="404"/>
      <c r="G62" s="404"/>
      <c r="H62" s="404"/>
      <c r="I62" s="404"/>
      <c r="J62" s="404"/>
      <c r="L62" s="18"/>
      <c r="M62" s="220"/>
    </row>
    <row r="63" spans="2:12" ht="12.75" hidden="1">
      <c r="B63" s="405"/>
      <c r="C63" s="405"/>
      <c r="D63" s="405"/>
      <c r="E63" s="405"/>
      <c r="F63" s="405"/>
      <c r="G63" s="405"/>
      <c r="H63" s="405"/>
      <c r="I63" s="405"/>
      <c r="J63" s="405"/>
      <c r="L63" s="18"/>
    </row>
    <row r="64" ht="12.75" hidden="1">
      <c r="L64" s="18"/>
    </row>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row r="74" ht="0" customHeight="1" hidden="1"/>
    <row r="75" ht="0" customHeight="1" hidden="1"/>
    <row r="76" ht="0" customHeight="1" hidden="1"/>
    <row r="77" ht="0" customHeight="1" hidden="1"/>
    <row r="78" ht="0" customHeight="1" hidden="1"/>
    <row r="79" ht="0" customHeight="1" hidden="1"/>
    <row r="80" ht="0" customHeight="1" hidden="1"/>
    <row r="81" ht="0" customHeight="1" hidden="1"/>
    <row r="82" ht="0" customHeight="1" hidden="1"/>
    <row r="83" ht="0" customHeight="1" hidden="1"/>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row r="102" ht="0" customHeight="1" hidden="1"/>
    <row r="103" ht="0" customHeight="1" hidden="1"/>
    <row r="104" ht="0" customHeight="1" hidden="1"/>
    <row r="105" ht="0" customHeight="1" hidden="1"/>
    <row r="106" ht="0" customHeight="1" hidden="1"/>
    <row r="107" ht="0" customHeight="1" hidden="1"/>
    <row r="108" ht="0" customHeight="1" hidden="1"/>
    <row r="109" ht="0" customHeight="1" hidden="1"/>
    <row r="110" ht="0" customHeight="1" hidden="1"/>
    <row r="111" ht="0" customHeight="1" hidden="1"/>
    <row r="112" ht="0" customHeight="1" hidden="1"/>
    <row r="113" ht="0" customHeight="1" hidden="1"/>
    <row r="114" ht="0" customHeight="1" hidden="1"/>
    <row r="115" ht="0" customHeight="1" hidden="1"/>
    <row r="116" ht="0" customHeight="1" hidden="1"/>
    <row r="117" ht="0" customHeight="1" hidden="1"/>
    <row r="118" ht="0" customHeight="1" hidden="1"/>
    <row r="119" ht="0" customHeight="1" hidden="1"/>
    <row r="120" ht="0" customHeight="1" hidden="1"/>
    <row r="121" ht="0" customHeight="1" hidden="1"/>
    <row r="122" ht="0" customHeight="1" hidden="1"/>
    <row r="123" ht="0" customHeight="1" hidden="1"/>
    <row r="124" ht="0" customHeight="1" hidden="1"/>
    <row r="125" ht="0" customHeight="1" hidden="1"/>
    <row r="126" ht="0" customHeight="1" hidden="1"/>
    <row r="127" ht="0" customHeight="1" hidden="1"/>
    <row r="128" ht="0" customHeight="1" hidden="1"/>
    <row r="129" ht="0" customHeight="1" hidden="1"/>
    <row r="130" ht="0" customHeight="1" hidden="1"/>
    <row r="131" ht="0" customHeight="1" hidden="1"/>
    <row r="132" ht="0" customHeight="1" hidden="1"/>
    <row r="133" ht="0" customHeight="1" hidden="1"/>
    <row r="134" ht="0" customHeight="1" hidden="1"/>
    <row r="135" ht="0" customHeight="1" hidden="1"/>
    <row r="136" ht="0" customHeight="1" hidden="1"/>
    <row r="137" ht="0" customHeight="1" hidden="1"/>
    <row r="138" ht="0" customHeight="1" hidden="1"/>
    <row r="139" ht="0" customHeight="1" hidden="1"/>
    <row r="140" ht="0" customHeight="1" hidden="1"/>
    <row r="141" ht="0" customHeight="1" hidden="1"/>
    <row r="142" ht="0" customHeight="1" hidden="1"/>
    <row r="143" ht="0" customHeight="1" hidden="1"/>
    <row r="144" ht="0" customHeight="1" hidden="1"/>
    <row r="145" ht="0" customHeight="1" hidden="1"/>
    <row r="146" ht="0" customHeight="1" hidden="1"/>
    <row r="147" ht="0" customHeight="1" hidden="1"/>
    <row r="148" ht="0" customHeight="1" hidden="1"/>
    <row r="149" ht="0" customHeight="1" hidden="1"/>
    <row r="150" ht="0" customHeight="1" hidden="1"/>
    <row r="151" ht="0" customHeight="1" hidden="1"/>
    <row r="152" ht="0" customHeight="1" hidden="1"/>
    <row r="153" ht="0" customHeight="1" hidden="1"/>
    <row r="154" ht="0" customHeight="1" hidden="1"/>
    <row r="155" ht="0" customHeight="1" hidden="1"/>
    <row r="156" ht="0" customHeight="1" hidden="1"/>
    <row r="157" ht="0" customHeight="1" hidden="1"/>
    <row r="158" ht="0"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row r="170" ht="0" customHeight="1" hidden="1"/>
    <row r="171" ht="0" customHeight="1" hidden="1"/>
    <row r="172" ht="0" customHeight="1" hidden="1"/>
    <row r="173" ht="0" customHeight="1" hidden="1"/>
    <row r="174" ht="0" customHeight="1" hidden="1"/>
    <row r="175" ht="0" customHeight="1" hidden="1"/>
    <row r="176" ht="0" customHeight="1" hidden="1"/>
    <row r="177" ht="0" customHeight="1" hidden="1"/>
    <row r="178" ht="0" customHeight="1" hidden="1"/>
    <row r="179" ht="0" customHeight="1" hidden="1"/>
    <row r="180" ht="0" customHeight="1" hidden="1"/>
    <row r="181" ht="0" customHeight="1" hidden="1"/>
    <row r="182" ht="0" customHeight="1" hidden="1"/>
    <row r="183" ht="0" customHeight="1" hidden="1"/>
    <row r="184" ht="0" customHeight="1" hidden="1"/>
    <row r="185" ht="0" customHeight="1" hidden="1"/>
    <row r="186" ht="0" customHeight="1" hidden="1"/>
    <row r="187" ht="0" customHeight="1" hidden="1"/>
    <row r="188" ht="0" customHeight="1" hidden="1"/>
    <row r="189" ht="0" customHeight="1" hidden="1"/>
    <row r="190" ht="0" customHeight="1" hidden="1"/>
    <row r="191" ht="0" customHeight="1" hidden="1"/>
    <row r="192" ht="0" customHeight="1" hidden="1"/>
    <row r="193" ht="0" customHeight="1" hidden="1"/>
    <row r="194" ht="0" customHeight="1" hidden="1"/>
    <row r="195" ht="0" customHeight="1" hidden="1"/>
    <row r="196" ht="0" customHeight="1" hidden="1"/>
    <row r="197" ht="0" customHeight="1" hidden="1"/>
    <row r="198" ht="0" customHeight="1" hidden="1"/>
    <row r="199" ht="0" customHeight="1" hidden="1"/>
  </sheetData>
  <sheetProtection/>
  <mergeCells count="5">
    <mergeCell ref="D34:E34"/>
    <mergeCell ref="M1:M2"/>
    <mergeCell ref="C16:C17"/>
    <mergeCell ref="D16:D17"/>
    <mergeCell ref="E16:E17"/>
  </mergeCells>
  <conditionalFormatting sqref="E29:E39 D9 D44:E44 J5:J8 D30:D39 E48:E50 D5:D6 C18:J19 F15:J15 I11:J11 D12:D14 H5:H11 D23:D25 E54:J57">
    <cfRule type="cellIs" priority="1" dxfId="52" operator="equal" stopIfTrue="1">
      <formula>""</formula>
    </cfRule>
  </conditionalFormatting>
  <conditionalFormatting sqref="E12">
    <cfRule type="expression" priority="2" dxfId="52" stopIfTrue="1">
      <formula>$D$12=""</formula>
    </cfRule>
  </conditionalFormatting>
  <conditionalFormatting sqref="H48:H50">
    <cfRule type="expression" priority="3" dxfId="41" stopIfTrue="1">
      <formula>B48=""</formula>
    </cfRule>
  </conditionalFormatting>
  <conditionalFormatting sqref="F48:G50 I48:J50">
    <cfRule type="cellIs" priority="4" dxfId="52" operator="equal" stopIfTrue="1">
      <formula>""</formula>
    </cfRule>
    <cfRule type="expression" priority="5" dxfId="7" stopIfTrue="1">
      <formula>$A$2="Du musst zuerst alle Berechnungen durchführen, um das Ergebnis ansehen zu können!"</formula>
    </cfRule>
  </conditionalFormatting>
  <conditionalFormatting sqref="F23:G25 I23:J25 I44:J44 I29:J39 F44:G44 F29:G39">
    <cfRule type="expression" priority="6" dxfId="87" stopIfTrue="1">
      <formula>$A$2="Du musst zuerst alle Berechnungen durchführen, um das Ergebnis ansehen zu können!"</formula>
    </cfRule>
  </conditionalFormatting>
  <conditionalFormatting sqref="F26:G26 I26:J26 F40:G40 I40:J40">
    <cfRule type="expression" priority="7" dxfId="86" stopIfTrue="1">
      <formula>$A$2="Du musst zuerst alle Berechnungen durchführen, um das Ergebnis ansehen zu können!"</formula>
    </cfRule>
  </conditionalFormatting>
  <conditionalFormatting sqref="F41:G41 I41:J41 I51:J51 F51:G51 F45:G45 I45:J45">
    <cfRule type="expression" priority="8" dxfId="85" stopIfTrue="1">
      <formula>$A$2="Du musst zuerst alle Berechnungen durchführen, um das Ergebnis ansehen zu können!"</formula>
    </cfRule>
  </conditionalFormatting>
  <conditionalFormatting sqref="F58:G58 I58:J58">
    <cfRule type="expression" priority="9" dxfId="90" stopIfTrue="1">
      <formula>$A$2="Du musst zuerst alle Berechnungen durchführen, um das Ergebnis ansehen zu können!"</formula>
    </cfRule>
  </conditionalFormatting>
  <conditionalFormatting sqref="H44:H45 H51">
    <cfRule type="cellIs" priority="10" dxfId="1" operator="equal" stopIfTrue="1">
      <formula>"noch leer"</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drawing r:id="rId3"/>
  <legacyDrawing r:id="rId2"/>
</worksheet>
</file>

<file path=xl/worksheets/sheet8.xml><?xml version="1.0" encoding="utf-8"?>
<worksheet xmlns="http://schemas.openxmlformats.org/spreadsheetml/2006/main" xmlns:r="http://schemas.openxmlformats.org/officeDocument/2006/relationships">
  <sheetPr>
    <tabColor indexed="10"/>
  </sheetPr>
  <dimension ref="A1:N80"/>
  <sheetViews>
    <sheetView showGridLines="0" zoomScalePageLayoutView="0" workbookViewId="0" topLeftCell="A1">
      <pane ySplit="2" topLeftCell="A3" activePane="bottomLeft" state="frozen"/>
      <selection pane="topLeft" activeCell="E12" sqref="E12:M18"/>
      <selection pane="bottomLeft" activeCell="H42" sqref="H42"/>
    </sheetView>
  </sheetViews>
  <sheetFormatPr defaultColWidth="0" defaultRowHeight="0" customHeight="1" zeroHeight="1"/>
  <cols>
    <col min="1" max="1" width="2.7109375" style="18" customWidth="1"/>
    <col min="2" max="5" width="9.28125" style="18" customWidth="1"/>
    <col min="6" max="10" width="8.7109375" style="18" customWidth="1"/>
    <col min="11" max="11" width="2.7109375" style="18" customWidth="1"/>
    <col min="12" max="12" width="0.85546875" style="178" customWidth="1"/>
    <col min="13" max="13" width="22.7109375" style="178" customWidth="1"/>
    <col min="14" max="16384" width="11.421875" style="1" hidden="1" customWidth="1"/>
  </cols>
  <sheetData>
    <row r="1" spans="1:13" ht="24.75" customHeight="1">
      <c r="A1" s="180"/>
      <c r="B1" s="332" t="s">
        <v>625</v>
      </c>
      <c r="C1" s="333"/>
      <c r="D1" s="333"/>
      <c r="E1" s="333"/>
      <c r="F1" s="333"/>
      <c r="G1" s="333"/>
      <c r="H1" s="333"/>
      <c r="I1" s="333"/>
      <c r="J1" s="333"/>
      <c r="K1" s="333"/>
      <c r="L1" s="129"/>
      <c r="M1" s="1043" t="s">
        <v>100</v>
      </c>
    </row>
    <row r="2" spans="1:13" ht="30" customHeight="1">
      <c r="A2" s="334"/>
      <c r="B2" s="335"/>
      <c r="C2" s="335"/>
      <c r="D2" s="335"/>
      <c r="E2" s="335"/>
      <c r="F2" s="335"/>
      <c r="G2" s="335"/>
      <c r="H2" s="335"/>
      <c r="I2" s="335"/>
      <c r="J2" s="335"/>
      <c r="K2" s="335"/>
      <c r="L2" s="130"/>
      <c r="M2" s="1044"/>
    </row>
    <row r="3" spans="1:13" ht="12.75" customHeight="1">
      <c r="A3" s="335"/>
      <c r="B3" s="336" t="s">
        <v>294</v>
      </c>
      <c r="C3" s="337"/>
      <c r="D3" s="337"/>
      <c r="E3" s="337"/>
      <c r="F3" s="337"/>
      <c r="G3" s="337"/>
      <c r="H3" s="337"/>
      <c r="I3" s="337"/>
      <c r="J3" s="337"/>
      <c r="K3" s="335"/>
      <c r="L3" s="130"/>
      <c r="M3" s="133"/>
    </row>
    <row r="4" spans="1:13" ht="12.75" customHeight="1">
      <c r="A4" s="335"/>
      <c r="B4" s="931" t="s">
        <v>265</v>
      </c>
      <c r="C4" s="931"/>
      <c r="D4" s="931"/>
      <c r="E4" s="931"/>
      <c r="F4" s="931" t="s">
        <v>60</v>
      </c>
      <c r="G4" s="931"/>
      <c r="H4" s="931"/>
      <c r="I4" s="931"/>
      <c r="J4" s="931"/>
      <c r="K4" s="335"/>
      <c r="L4" s="130"/>
      <c r="M4" s="133"/>
    </row>
    <row r="5" spans="1:13" ht="12.75" customHeight="1">
      <c r="A5" s="335"/>
      <c r="B5" s="920" t="s">
        <v>626</v>
      </c>
      <c r="C5" s="920"/>
      <c r="D5" s="932">
        <f>IF('[2]Lamm'!D10="","",'[2]Lamm'!D10)</f>
        <v>65</v>
      </c>
      <c r="E5" s="933" t="str">
        <f>IF('[2]Lamm'!F10="","",'[2]Lamm'!F10)</f>
        <v>Stk.</v>
      </c>
      <c r="F5" s="934" t="s">
        <v>627</v>
      </c>
      <c r="G5" s="935"/>
      <c r="H5" s="921"/>
      <c r="I5" s="936">
        <f>35/D10</f>
        <v>7</v>
      </c>
      <c r="J5" s="937"/>
      <c r="K5" s="335"/>
      <c r="L5" s="130"/>
      <c r="M5" s="133"/>
    </row>
    <row r="6" spans="1:13" ht="12.75" customHeight="1">
      <c r="A6" s="335"/>
      <c r="B6" s="934" t="s">
        <v>628</v>
      </c>
      <c r="C6" s="934"/>
      <c r="D6" s="932">
        <f>IF('[2]Lamm'!D12="","",'[2]Lamm'!D12)</f>
        <v>78</v>
      </c>
      <c r="E6" s="938" t="str">
        <f>IF('[2]Lamm'!F12="","",'[2]Lamm'!F12)</f>
        <v>kg</v>
      </c>
      <c r="F6" s="934" t="s">
        <v>629</v>
      </c>
      <c r="G6" s="935"/>
      <c r="H6" s="921"/>
      <c r="I6" s="939">
        <f>IF('[2]Lamm'!I10="","",'[2]Lamm'!I10)</f>
        <v>0.25</v>
      </c>
      <c r="J6" s="940">
        <f>IF('[2]Lamm'!M10="","",'[2]Lamm'!M10)</f>
        <v>35</v>
      </c>
      <c r="K6" s="335"/>
      <c r="L6" s="130"/>
      <c r="M6" s="133"/>
    </row>
    <row r="7" spans="1:13" ht="12.75" customHeight="1">
      <c r="A7" s="335"/>
      <c r="B7" s="934" t="s">
        <v>630</v>
      </c>
      <c r="C7" s="934"/>
      <c r="D7" s="941">
        <f>IF('[2]Lamm'!D14="","",'[2]Lamm'!D14)</f>
        <v>3</v>
      </c>
      <c r="E7" s="938" t="str">
        <f>IF('[2]Lamm'!F14="","",'[2]Lamm'!F14)</f>
        <v>Stk.</v>
      </c>
      <c r="F7" s="934" t="s">
        <v>631</v>
      </c>
      <c r="G7" s="935"/>
      <c r="H7" s="921"/>
      <c r="I7" s="939">
        <f>IF('[2]Lamm'!I12="","",'[2]Lamm'!I12)</f>
        <v>0.21</v>
      </c>
      <c r="J7" s="940">
        <f>IF('[2]Lamm'!M12="","",'[2]Lamm'!M12)</f>
        <v>56</v>
      </c>
      <c r="K7" s="335"/>
      <c r="L7" s="130"/>
      <c r="M7" s="133"/>
    </row>
    <row r="8" spans="1:13" ht="12.75" customHeight="1">
      <c r="A8" s="335"/>
      <c r="B8" s="934" t="s">
        <v>632</v>
      </c>
      <c r="C8" s="934"/>
      <c r="D8" s="942">
        <f>IF('[2]Lamm'!D16="","",'[2]Lamm'!D16)</f>
        <v>0.2</v>
      </c>
      <c r="E8" s="938">
        <f>IF('[2]Lamm'!F16="","",'[2]Lamm'!F16)</f>
      </c>
      <c r="F8" s="943" t="s">
        <v>633</v>
      </c>
      <c r="G8" s="943"/>
      <c r="H8" s="921"/>
      <c r="I8" s="944">
        <f>IF('[2]Lamm'!I14="","",'[2]Lamm'!I14)</f>
        <v>11.2</v>
      </c>
      <c r="J8" s="945" t="str">
        <f>IF(I8="","",E21)</f>
        <v>MJ ME für 180 Stallhaltungstage</v>
      </c>
      <c r="K8" s="335"/>
      <c r="L8" s="130"/>
      <c r="M8" s="133"/>
    </row>
    <row r="9" spans="1:13" ht="12.75" customHeight="1">
      <c r="A9" s="335"/>
      <c r="B9" s="934" t="s">
        <v>634</v>
      </c>
      <c r="C9" s="934"/>
      <c r="D9" s="941">
        <f>+D7*(1-D8)-1/D10</f>
        <v>2.2</v>
      </c>
      <c r="E9" s="938" t="s">
        <v>635</v>
      </c>
      <c r="F9" s="934" t="s">
        <v>636</v>
      </c>
      <c r="G9" s="935"/>
      <c r="H9" s="921"/>
      <c r="I9" s="936">
        <f>IF('[2]Lamm'!I16="","",'[2]Lamm'!I16)</f>
        <v>8</v>
      </c>
      <c r="J9" s="1005">
        <f>IF('[2]Lamm'!O16="","",'[2]Lamm'!O16)</f>
      </c>
      <c r="K9" s="335"/>
      <c r="L9" s="130"/>
      <c r="M9" s="133"/>
    </row>
    <row r="10" spans="1:13" ht="12.75" customHeight="1">
      <c r="A10" s="335"/>
      <c r="B10" s="934" t="s">
        <v>637</v>
      </c>
      <c r="C10" s="934"/>
      <c r="D10" s="932">
        <f>IF('[2]Lamm'!D18="","",'[2]Lamm'!D18)</f>
        <v>5</v>
      </c>
      <c r="E10" s="938" t="str">
        <f>IF('[2]Lamm'!F18="","",'[2]Lamm'!F18)</f>
        <v>Jahre</v>
      </c>
      <c r="F10" s="934" t="s">
        <v>638</v>
      </c>
      <c r="G10" s="935"/>
      <c r="H10" s="921"/>
      <c r="I10" s="936">
        <f>IF('[2]Lamm'!I18="","",'[2]Lamm'!I18)</f>
        <v>14</v>
      </c>
      <c r="J10" s="1006">
        <f>IF('[2]Lamm'!O18="","",'[2]Lamm'!O18)</f>
      </c>
      <c r="K10" s="335"/>
      <c r="L10" s="130"/>
      <c r="M10" s="133"/>
    </row>
    <row r="11" spans="1:13" ht="12.75" customHeight="1">
      <c r="A11" s="335"/>
      <c r="B11" s="934" t="s">
        <v>639</v>
      </c>
      <c r="C11" s="934"/>
      <c r="D11" s="946">
        <f>IF('[2]Lamm'!D20="","",'[2]Lamm'!D20)</f>
        <v>43</v>
      </c>
      <c r="E11" s="938" t="str">
        <f>IF('[2]Lamm'!F20="","",'[2]Lamm'!F20)</f>
        <v>kg</v>
      </c>
      <c r="F11" s="934" t="s">
        <v>640</v>
      </c>
      <c r="G11" s="935"/>
      <c r="H11" s="921"/>
      <c r="I11" s="936">
        <f>IF('[2]Lamm'!I20="","",'[2]Lamm'!I20)</f>
        <v>510</v>
      </c>
      <c r="J11" s="1006">
        <f>IF('[2]Lamm'!O20="","",'[2]Lamm'!O20)</f>
      </c>
      <c r="K11" s="335"/>
      <c r="L11" s="130"/>
      <c r="M11" s="133"/>
    </row>
    <row r="12" spans="1:13" ht="12.75" customHeight="1">
      <c r="A12" s="335"/>
      <c r="B12" s="934" t="s">
        <v>641</v>
      </c>
      <c r="C12" s="934"/>
      <c r="D12" s="932">
        <f>IF('[2]Lamm'!D22="","",'[2]Lamm'!D22)</f>
        <v>115</v>
      </c>
      <c r="E12" s="938" t="str">
        <f>IF('[2]Lamm'!F22="","",'[2]Lamm'!F22)</f>
        <v>Tage</v>
      </c>
      <c r="F12" s="934" t="s">
        <v>642</v>
      </c>
      <c r="G12" s="935"/>
      <c r="H12" s="921"/>
      <c r="I12" s="936">
        <f>IF('[2]Lamm'!I22="","",'[2]Lamm'!I22)</f>
        <v>320</v>
      </c>
      <c r="J12" s="1006">
        <f>IF('[2]Lamm'!O22="","",'[2]Lamm'!O22)</f>
      </c>
      <c r="K12" s="335"/>
      <c r="L12" s="130"/>
      <c r="M12" s="133"/>
    </row>
    <row r="13" spans="1:13" ht="12.75" customHeight="1">
      <c r="A13" s="335"/>
      <c r="B13" s="934" t="s">
        <v>643</v>
      </c>
      <c r="C13" s="934"/>
      <c r="D13" s="941">
        <f>IF('[2]Lamm'!D24="","",'[2]Lamm'!D24)</f>
        <v>1</v>
      </c>
      <c r="E13" s="938" t="str">
        <f>IF('[2]Lamm'!F24="","",'[2]Lamm'!F24)</f>
        <v>€</v>
      </c>
      <c r="F13" s="934" t="s">
        <v>644</v>
      </c>
      <c r="G13" s="935"/>
      <c r="H13" s="921"/>
      <c r="I13" s="947">
        <f>(I11-I12)/D5</f>
        <v>2.923076923076923</v>
      </c>
      <c r="J13" s="1006"/>
      <c r="K13" s="335"/>
      <c r="L13" s="130"/>
      <c r="M13" s="133"/>
    </row>
    <row r="14" spans="1:13" ht="12.75" customHeight="1">
      <c r="A14" s="335"/>
      <c r="B14" s="934" t="s">
        <v>645</v>
      </c>
      <c r="C14" s="934"/>
      <c r="D14" s="948">
        <f>IF('[2]Lamm'!D26="","",'[2]Lamm'!D26)</f>
        <v>1.75</v>
      </c>
      <c r="E14" s="938" t="str">
        <f>IF('[2]Lamm'!F26="","",'[2]Lamm'!F26)</f>
        <v>€</v>
      </c>
      <c r="F14" s="934" t="s">
        <v>646</v>
      </c>
      <c r="G14" s="935"/>
      <c r="H14" s="921"/>
      <c r="I14" s="936">
        <f>IF('[2]Lamm'!I24="","",'[2]Lamm'!I24)</f>
        <v>42</v>
      </c>
      <c r="K14" s="335"/>
      <c r="L14" s="130"/>
      <c r="M14" s="133"/>
    </row>
    <row r="15" spans="1:13" ht="12.75" customHeight="1">
      <c r="A15" s="335"/>
      <c r="B15" s="934" t="s">
        <v>647</v>
      </c>
      <c r="C15" s="934"/>
      <c r="D15" s="948">
        <f>IF('[2]Lamm'!D28="","",'[2]Lamm'!D28)</f>
        <v>3</v>
      </c>
      <c r="E15" s="938" t="str">
        <f>IF('[2]Lamm'!F28="","",'[2]Lamm'!F28)</f>
        <v>kg</v>
      </c>
      <c r="F15" s="934" t="s">
        <v>648</v>
      </c>
      <c r="G15" s="935"/>
      <c r="H15" s="949">
        <f>IF('[2]Lamm'!I26="","",'[2]Lamm'!I26)</f>
        <v>0.09</v>
      </c>
      <c r="I15" s="950">
        <f>IF('[2]Lamm'!M26="","",'[2]Lamm'!M26)</f>
        <v>0.85</v>
      </c>
      <c r="J15" s="951" t="s">
        <v>649</v>
      </c>
      <c r="K15" s="335"/>
      <c r="L15" s="130"/>
      <c r="M15" s="133"/>
    </row>
    <row r="16" spans="1:13" ht="12.75" customHeight="1">
      <c r="A16" s="335"/>
      <c r="B16" s="934" t="s">
        <v>650</v>
      </c>
      <c r="C16" s="934"/>
      <c r="D16" s="948">
        <f>IF('[2]Lamm'!D30="","",'[2]Lamm'!D30)</f>
        <v>0.75</v>
      </c>
      <c r="E16" s="938" t="str">
        <f>IF('[2]Lamm'!F30="","",'[2]Lamm'!F30)</f>
        <v>€</v>
      </c>
      <c r="F16" s="934" t="s">
        <v>651</v>
      </c>
      <c r="G16" s="935"/>
      <c r="H16" s="921"/>
      <c r="I16" s="936">
        <f>IF('[2]Lamm'!I28="","",'[2]Lamm'!I28)</f>
        <v>6</v>
      </c>
      <c r="J16" s="937"/>
      <c r="K16" s="335"/>
      <c r="L16" s="130"/>
      <c r="M16" s="133"/>
    </row>
    <row r="17" spans="1:13" ht="12.75" customHeight="1">
      <c r="A17" s="335"/>
      <c r="B17" s="934" t="s">
        <v>652</v>
      </c>
      <c r="C17" s="934"/>
      <c r="D17" s="948">
        <f>IF('[2]Lamm'!D32="","",'[2]Lamm'!D32)</f>
      </c>
      <c r="E17" s="938" t="str">
        <f>IF('[2]Lamm'!F32="","",'[2]Lamm'!F32)</f>
        <v>€</v>
      </c>
      <c r="F17" s="934" t="s">
        <v>653</v>
      </c>
      <c r="G17" s="935"/>
      <c r="H17" s="921"/>
      <c r="I17" s="936">
        <f>IF('[2]Lamm'!I30="","",'[2]Lamm'!I30)</f>
        <v>15</v>
      </c>
      <c r="J17" s="937"/>
      <c r="K17" s="335"/>
      <c r="L17" s="130"/>
      <c r="M17" s="133"/>
    </row>
    <row r="18" spans="1:13" ht="12.75" customHeight="1">
      <c r="A18" s="335"/>
      <c r="B18" s="934" t="s">
        <v>654</v>
      </c>
      <c r="C18" s="934"/>
      <c r="D18" s="932">
        <f>IF('[2]Lamm'!D34="","",'[2]Lamm'!D34)</f>
        <v>180</v>
      </c>
      <c r="E18" s="938" t="s">
        <v>655</v>
      </c>
      <c r="F18" s="934"/>
      <c r="G18" s="935"/>
      <c r="H18" s="921"/>
      <c r="I18" s="952"/>
      <c r="J18" s="937"/>
      <c r="K18" s="335"/>
      <c r="L18" s="130"/>
      <c r="M18" s="133"/>
    </row>
    <row r="19" spans="1:13" ht="12.75" customHeight="1">
      <c r="A19" s="335"/>
      <c r="B19" s="36"/>
      <c r="C19" s="36"/>
      <c r="D19" s="36"/>
      <c r="E19" s="36"/>
      <c r="F19" s="36"/>
      <c r="G19" s="36"/>
      <c r="H19" s="937"/>
      <c r="I19" s="937"/>
      <c r="J19" s="937"/>
      <c r="K19" s="335"/>
      <c r="L19" s="130"/>
      <c r="M19" s="133"/>
    </row>
    <row r="20" spans="1:13" ht="12.75" customHeight="1">
      <c r="A20" s="335"/>
      <c r="B20" s="953" t="s">
        <v>656</v>
      </c>
      <c r="C20" s="953"/>
      <c r="D20" s="954"/>
      <c r="E20" s="954"/>
      <c r="F20" s="953" t="s">
        <v>657</v>
      </c>
      <c r="G20" s="953"/>
      <c r="H20" s="955" t="s">
        <v>658</v>
      </c>
      <c r="I20" s="956" t="s">
        <v>659</v>
      </c>
      <c r="J20" s="956"/>
      <c r="K20" s="335"/>
      <c r="L20" s="130"/>
      <c r="M20" s="133"/>
    </row>
    <row r="21" spans="1:13" ht="12.75" customHeight="1">
      <c r="A21" s="335"/>
      <c r="B21" s="934" t="s">
        <v>660</v>
      </c>
      <c r="C21" s="934"/>
      <c r="D21" s="932">
        <f>IF('[2]Lamm'!I32="","",'[2]Lamm'!I32)</f>
        <v>3250</v>
      </c>
      <c r="E21" s="938" t="str">
        <f>IF('[2]Lamm'!K32="","",'[2]Lamm'!K32)</f>
        <v>MJ ME für 180 Stallhaltungstage</v>
      </c>
      <c r="F21" s="954" t="s">
        <v>661</v>
      </c>
      <c r="G21" s="922"/>
      <c r="H21" s="922"/>
      <c r="I21" s="922"/>
      <c r="J21" s="922"/>
      <c r="K21" s="335"/>
      <c r="L21" s="130"/>
      <c r="M21" s="133"/>
    </row>
    <row r="22" spans="1:13" ht="12.75" customHeight="1">
      <c r="A22" s="335"/>
      <c r="B22" s="943" t="s">
        <v>662</v>
      </c>
      <c r="C22" s="943"/>
      <c r="D22" s="932">
        <f>+D21-D23</f>
        <v>2230.8</v>
      </c>
      <c r="E22" s="938" t="str">
        <f>E21</f>
        <v>MJ ME für 180 Stallhaltungstage</v>
      </c>
      <c r="F22" s="935" t="s">
        <v>663</v>
      </c>
      <c r="G22" s="935"/>
      <c r="H22" s="957">
        <f>IF('[2]Lamm'!D43="","",'[2]Lamm'!D43)</f>
        <v>4</v>
      </c>
      <c r="I22" s="958">
        <f>H22/60*D12</f>
        <v>7.666666666666667</v>
      </c>
      <c r="J22" s="938" t="str">
        <f>IF(I22="","","AKh")</f>
        <v>AKh</v>
      </c>
      <c r="K22" s="335"/>
      <c r="L22" s="130"/>
      <c r="M22" s="133"/>
    </row>
    <row r="23" spans="1:13" ht="12.75" customHeight="1">
      <c r="A23" s="335"/>
      <c r="B23" s="943" t="s">
        <v>664</v>
      </c>
      <c r="C23" s="943"/>
      <c r="D23" s="932">
        <f>+D24*I8</f>
        <v>1019.1999999999999</v>
      </c>
      <c r="E23" s="938" t="str">
        <f>E21</f>
        <v>MJ ME für 180 Stallhaltungstage</v>
      </c>
      <c r="F23" s="935" t="s">
        <v>665</v>
      </c>
      <c r="G23" s="935"/>
      <c r="H23" s="1003"/>
      <c r="I23" s="958">
        <f>IF('[2]Lamm'!F45="","",'[2]Lamm'!F45)</f>
        <v>3.5</v>
      </c>
      <c r="J23" s="938" t="str">
        <f>IF(I23="","","AKh")</f>
        <v>AKh</v>
      </c>
      <c r="K23" s="335"/>
      <c r="L23" s="130"/>
      <c r="M23" s="133"/>
    </row>
    <row r="24" spans="1:13" ht="12.75" customHeight="1">
      <c r="A24" s="335"/>
      <c r="B24" s="934" t="s">
        <v>666</v>
      </c>
      <c r="C24" s="934"/>
      <c r="D24" s="932">
        <f>+J7+J6</f>
        <v>91</v>
      </c>
      <c r="E24" s="938" t="s">
        <v>667</v>
      </c>
      <c r="F24" s="935" t="s">
        <v>668</v>
      </c>
      <c r="G24" s="935"/>
      <c r="H24" s="1004"/>
      <c r="I24" s="958">
        <f>IF('[2]Lamm'!F47="","",'[2]Lamm'!F47)</f>
        <v>1.5</v>
      </c>
      <c r="J24" s="938" t="str">
        <f>IF(I24="","","AKh")</f>
        <v>AKh</v>
      </c>
      <c r="K24" s="335"/>
      <c r="L24" s="130"/>
      <c r="M24" s="133"/>
    </row>
    <row r="25" spans="1:13" ht="12.75" customHeight="1">
      <c r="A25" s="335"/>
      <c r="B25" s="959"/>
      <c r="C25" s="959"/>
      <c r="D25" s="959"/>
      <c r="E25" s="959"/>
      <c r="F25" s="960"/>
      <c r="G25" s="960"/>
      <c r="H25" s="960"/>
      <c r="I25" s="960"/>
      <c r="J25" s="960"/>
      <c r="K25" s="335"/>
      <c r="L25" s="130"/>
      <c r="M25" s="133"/>
    </row>
    <row r="26" spans="1:13" ht="12.75" customHeight="1">
      <c r="A26" s="335"/>
      <c r="B26" s="961"/>
      <c r="C26" s="961"/>
      <c r="D26" s="954"/>
      <c r="E26" s="954"/>
      <c r="F26" s="954"/>
      <c r="G26" s="953" t="s">
        <v>669</v>
      </c>
      <c r="H26" s="954"/>
      <c r="I26" s="954"/>
      <c r="J26" s="962">
        <v>10</v>
      </c>
      <c r="K26" s="335"/>
      <c r="L26" s="130"/>
      <c r="M26" s="133"/>
    </row>
    <row r="27" spans="1:13" ht="12.75" customHeight="1">
      <c r="A27" s="335"/>
      <c r="B27" s="953" t="s">
        <v>392</v>
      </c>
      <c r="C27" s="953"/>
      <c r="D27" s="954"/>
      <c r="E27" s="963" t="s">
        <v>423</v>
      </c>
      <c r="F27" s="964">
        <f>+H27-2*J26/100</f>
        <v>0.8</v>
      </c>
      <c r="G27" s="964">
        <f>+H27-J26/100</f>
        <v>0.9</v>
      </c>
      <c r="H27" s="964">
        <v>1</v>
      </c>
      <c r="I27" s="964">
        <f>+H27+J26/100</f>
        <v>1.1</v>
      </c>
      <c r="J27" s="964">
        <f>+H27+2*J26/100</f>
        <v>1.2</v>
      </c>
      <c r="K27" s="335"/>
      <c r="L27" s="130"/>
      <c r="M27" s="133"/>
    </row>
    <row r="28" spans="1:13" ht="12.75" customHeight="1">
      <c r="A28" s="335"/>
      <c r="B28" s="965" t="s">
        <v>630</v>
      </c>
      <c r="C28" s="965"/>
      <c r="D28" s="965"/>
      <c r="E28" s="966" t="s">
        <v>635</v>
      </c>
      <c r="F28" s="967">
        <f>+H28*F$27</f>
        <v>2.4000000000000004</v>
      </c>
      <c r="G28" s="967">
        <f>+H28*G$27</f>
        <v>2.7</v>
      </c>
      <c r="H28" s="967">
        <f>D7</f>
        <v>3</v>
      </c>
      <c r="I28" s="967">
        <f>+H28*I27</f>
        <v>3.3000000000000003</v>
      </c>
      <c r="J28" s="968">
        <f>+H28*J27</f>
        <v>3.5999999999999996</v>
      </c>
      <c r="K28" s="335"/>
      <c r="L28" s="130"/>
      <c r="M28" s="133"/>
    </row>
    <row r="29" spans="1:13" ht="12.75" customHeight="1">
      <c r="A29" s="335"/>
      <c r="B29" s="969" t="s">
        <v>634</v>
      </c>
      <c r="C29" s="969"/>
      <c r="D29" s="969"/>
      <c r="E29" s="970" t="s">
        <v>635</v>
      </c>
      <c r="F29" s="971">
        <f>+H29*F$27</f>
        <v>1.7600000000000002</v>
      </c>
      <c r="G29" s="971">
        <f>+H29*G$27</f>
        <v>1.9800000000000002</v>
      </c>
      <c r="H29" s="971">
        <f>D9</f>
        <v>2.2</v>
      </c>
      <c r="I29" s="971">
        <f>+H29*I27</f>
        <v>2.4200000000000004</v>
      </c>
      <c r="J29" s="972">
        <f>+H29*J27</f>
        <v>2.64</v>
      </c>
      <c r="K29" s="335"/>
      <c r="L29" s="130"/>
      <c r="M29" s="133"/>
    </row>
    <row r="30" spans="1:13" ht="12.75" customHeight="1">
      <c r="A30" s="335"/>
      <c r="B30" s="973" t="s">
        <v>670</v>
      </c>
      <c r="C30" s="973"/>
      <c r="D30" s="973"/>
      <c r="E30" s="974" t="s">
        <v>671</v>
      </c>
      <c r="F30" s="975">
        <f>+H30</f>
        <v>43</v>
      </c>
      <c r="G30" s="975">
        <f>+H30</f>
        <v>43</v>
      </c>
      <c r="H30" s="975">
        <f>D11</f>
        <v>43</v>
      </c>
      <c r="I30" s="975">
        <f>+H30</f>
        <v>43</v>
      </c>
      <c r="J30" s="976">
        <f>+H30</f>
        <v>43</v>
      </c>
      <c r="K30" s="335"/>
      <c r="L30" s="130"/>
      <c r="M30" s="133"/>
    </row>
    <row r="31" spans="1:13" ht="12.75" customHeight="1">
      <c r="A31" s="335"/>
      <c r="B31" s="973" t="s">
        <v>672</v>
      </c>
      <c r="C31" s="973"/>
      <c r="D31" s="973"/>
      <c r="E31" s="974" t="s">
        <v>655</v>
      </c>
      <c r="F31" s="975">
        <f>+H31</f>
        <v>115</v>
      </c>
      <c r="G31" s="975">
        <f>+H31</f>
        <v>115</v>
      </c>
      <c r="H31" s="975">
        <f>D12</f>
        <v>115</v>
      </c>
      <c r="I31" s="975">
        <f>+H31</f>
        <v>115</v>
      </c>
      <c r="J31" s="976">
        <f>+H31</f>
        <v>115</v>
      </c>
      <c r="K31" s="335"/>
      <c r="L31" s="130"/>
      <c r="M31" s="133"/>
    </row>
    <row r="32" spans="1:13" ht="12.75" customHeight="1">
      <c r="A32" s="335"/>
      <c r="B32" s="977" t="s">
        <v>673</v>
      </c>
      <c r="C32" s="977"/>
      <c r="D32" s="977"/>
      <c r="E32" s="978" t="s">
        <v>674</v>
      </c>
      <c r="F32" s="975">
        <f>+H32*(1-$J$26%)</f>
        <v>2925</v>
      </c>
      <c r="G32" s="975">
        <f>+H32*(1-$J$26%/2)</f>
        <v>3087.5</v>
      </c>
      <c r="H32" s="975">
        <f>D21</f>
        <v>3250</v>
      </c>
      <c r="I32" s="975">
        <f>+H32*(1+$J$26%/2)</f>
        <v>3412.5</v>
      </c>
      <c r="J32" s="976">
        <f>+H32*(1+$J$26%)</f>
        <v>3575.0000000000005</v>
      </c>
      <c r="K32" s="335"/>
      <c r="L32" s="130"/>
      <c r="M32" s="133"/>
    </row>
    <row r="33" spans="1:13" ht="12.75" customHeight="1">
      <c r="A33" s="335"/>
      <c r="B33" s="979" t="s">
        <v>675</v>
      </c>
      <c r="C33" s="979"/>
      <c r="D33" s="980"/>
      <c r="E33" s="978" t="s">
        <v>674</v>
      </c>
      <c r="F33" s="981">
        <f>+F32-F34</f>
        <v>2109.64</v>
      </c>
      <c r="G33" s="981">
        <f>+G32-G34</f>
        <v>2170.2200000000003</v>
      </c>
      <c r="H33" s="975">
        <f>D22</f>
        <v>2230.8</v>
      </c>
      <c r="I33" s="981">
        <f>+I32-I34</f>
        <v>2291.38</v>
      </c>
      <c r="J33" s="982">
        <f>+J32-J34</f>
        <v>2351.960000000001</v>
      </c>
      <c r="K33" s="335"/>
      <c r="L33" s="130"/>
      <c r="M33" s="133"/>
    </row>
    <row r="34" spans="1:13" ht="12.75" customHeight="1">
      <c r="A34" s="335"/>
      <c r="B34" s="979" t="s">
        <v>676</v>
      </c>
      <c r="C34" s="979"/>
      <c r="D34" s="980"/>
      <c r="E34" s="978" t="s">
        <v>674</v>
      </c>
      <c r="F34" s="981">
        <f>((+J6*F28/$H$28)+(J7*F27))*$I$8</f>
        <v>815.3600000000001</v>
      </c>
      <c r="G34" s="981">
        <f>((+J6*G28/$H$28)+(J7*G27))*$I$8</f>
        <v>917.28</v>
      </c>
      <c r="H34" s="981">
        <f>+H32-H33</f>
        <v>1019.1999999999998</v>
      </c>
      <c r="I34" s="981">
        <f>((+J6*I28/$H$28)+(J7*I27))*$I$8</f>
        <v>1121.1200000000001</v>
      </c>
      <c r="J34" s="982">
        <f>((+J6*J28/$H$28)+(J7*J27))*$I$8</f>
        <v>1223.0399999999997</v>
      </c>
      <c r="K34" s="335"/>
      <c r="L34" s="130"/>
      <c r="M34" s="133"/>
    </row>
    <row r="35" spans="1:13" ht="12.75" customHeight="1">
      <c r="A35" s="335"/>
      <c r="B35" s="983" t="s">
        <v>395</v>
      </c>
      <c r="C35" s="983"/>
      <c r="D35" s="983"/>
      <c r="E35" s="984" t="s">
        <v>467</v>
      </c>
      <c r="F35" s="985">
        <f>H35</f>
        <v>5</v>
      </c>
      <c r="G35" s="985">
        <f>H35</f>
        <v>5</v>
      </c>
      <c r="H35" s="985">
        <f>D10</f>
        <v>5</v>
      </c>
      <c r="I35" s="985">
        <f>H35</f>
        <v>5</v>
      </c>
      <c r="J35" s="986">
        <f>H35</f>
        <v>5</v>
      </c>
      <c r="K35" s="335"/>
      <c r="L35" s="130"/>
      <c r="M35" s="133"/>
    </row>
    <row r="36" spans="1:13" ht="12.75" customHeight="1">
      <c r="A36" s="335"/>
      <c r="B36" s="362"/>
      <c r="C36" s="362"/>
      <c r="D36" s="362"/>
      <c r="E36" s="335"/>
      <c r="F36" s="363"/>
      <c r="G36" s="363"/>
      <c r="H36" s="363"/>
      <c r="I36" s="363"/>
      <c r="J36" s="363"/>
      <c r="K36" s="335"/>
      <c r="L36" s="130"/>
      <c r="M36" s="133"/>
    </row>
    <row r="37" spans="1:13" ht="12.75">
      <c r="A37" s="335"/>
      <c r="B37" s="194" t="s">
        <v>34</v>
      </c>
      <c r="C37" s="194"/>
      <c r="D37" s="194"/>
      <c r="E37" s="194"/>
      <c r="F37" s="182"/>
      <c r="G37" s="182"/>
      <c r="H37" s="182" t="s">
        <v>316</v>
      </c>
      <c r="I37" s="182"/>
      <c r="J37" s="182"/>
      <c r="K37" s="335"/>
      <c r="L37" s="130"/>
      <c r="M37" s="133"/>
    </row>
    <row r="38" spans="1:13" ht="12.75">
      <c r="A38" s="335"/>
      <c r="B38" s="249"/>
      <c r="C38" s="182"/>
      <c r="D38" s="182"/>
      <c r="E38" s="182" t="s">
        <v>321</v>
      </c>
      <c r="F38" s="364">
        <v>1</v>
      </c>
      <c r="G38" s="364">
        <v>2</v>
      </c>
      <c r="H38" s="365" t="s">
        <v>318</v>
      </c>
      <c r="I38" s="364">
        <v>4</v>
      </c>
      <c r="J38" s="364">
        <v>5</v>
      </c>
      <c r="K38" s="335"/>
      <c r="L38" s="140"/>
      <c r="M38" s="133"/>
    </row>
    <row r="39" spans="1:13" ht="12.75">
      <c r="A39" s="335"/>
      <c r="B39" s="183" t="s">
        <v>677</v>
      </c>
      <c r="C39" s="366"/>
      <c r="D39" s="1008"/>
      <c r="E39" s="923">
        <f>D14</f>
        <v>1.75</v>
      </c>
      <c r="F39" s="371">
        <f>+$E$39*F30*F29</f>
        <v>132.44000000000003</v>
      </c>
      <c r="G39" s="369">
        <f>+$E$39*G30*G29</f>
        <v>148.995</v>
      </c>
      <c r="H39" s="425">
        <f>+$E$39*H30*H29</f>
        <v>165.55</v>
      </c>
      <c r="I39" s="371">
        <f>+$E$39*I30*I29</f>
        <v>182.10500000000002</v>
      </c>
      <c r="J39" s="368">
        <f>+$E$39*J30*J29</f>
        <v>198.66</v>
      </c>
      <c r="K39" s="335"/>
      <c r="L39" s="130"/>
      <c r="M39" s="133"/>
    </row>
    <row r="40" spans="1:13" ht="12.75">
      <c r="A40" s="335"/>
      <c r="B40" s="183" t="s">
        <v>678</v>
      </c>
      <c r="C40" s="366"/>
      <c r="D40" s="1008"/>
      <c r="E40" s="924">
        <f>D13</f>
        <v>1</v>
      </c>
      <c r="F40" s="371">
        <f>+H40</f>
        <v>15.6</v>
      </c>
      <c r="G40" s="369">
        <f>+H40</f>
        <v>15.6</v>
      </c>
      <c r="H40" s="425">
        <f>E40*D6/H35</f>
        <v>15.6</v>
      </c>
      <c r="I40" s="371">
        <f>+H40</f>
        <v>15.6</v>
      </c>
      <c r="J40" s="368">
        <f>+H40</f>
        <v>15.6</v>
      </c>
      <c r="K40" s="335"/>
      <c r="L40" s="130"/>
      <c r="M40" s="133"/>
    </row>
    <row r="41" spans="1:13" ht="13.5" thickBot="1">
      <c r="A41" s="335"/>
      <c r="B41" s="183" t="s">
        <v>679</v>
      </c>
      <c r="C41" s="366"/>
      <c r="D41" s="1008"/>
      <c r="E41" s="925">
        <f>D16</f>
        <v>0.75</v>
      </c>
      <c r="F41" s="371">
        <f>+H41</f>
        <v>2.25</v>
      </c>
      <c r="G41" s="369">
        <f>+H41</f>
        <v>2.25</v>
      </c>
      <c r="H41" s="715">
        <f>E41*D15</f>
        <v>2.25</v>
      </c>
      <c r="I41" s="371">
        <f>+H41</f>
        <v>2.25</v>
      </c>
      <c r="J41" s="368">
        <f>+H41</f>
        <v>2.25</v>
      </c>
      <c r="K41" s="335"/>
      <c r="L41" s="130"/>
      <c r="M41" s="133"/>
    </row>
    <row r="42" spans="1:13" ht="13.5" thickBot="1">
      <c r="A42" s="335"/>
      <c r="B42" s="200" t="s">
        <v>680</v>
      </c>
      <c r="C42" s="200"/>
      <c r="D42" s="200" t="s">
        <v>681</v>
      </c>
      <c r="E42" s="200"/>
      <c r="F42" s="372">
        <f>SUM(F39:F41)</f>
        <v>150.29000000000002</v>
      </c>
      <c r="G42" s="373">
        <f>SUM(G39:G41)</f>
        <v>166.845</v>
      </c>
      <c r="H42" s="374"/>
      <c r="I42" s="375">
        <f>SUM(I39:I41)</f>
        <v>199.955</v>
      </c>
      <c r="J42" s="372">
        <f>SUM(J39:J41)</f>
        <v>216.51</v>
      </c>
      <c r="K42" s="335"/>
      <c r="L42" s="130"/>
      <c r="M42" s="133"/>
    </row>
    <row r="43" spans="1:13" ht="3.75" customHeight="1">
      <c r="A43" s="335"/>
      <c r="B43" s="362"/>
      <c r="C43" s="362"/>
      <c r="D43" s="362"/>
      <c r="E43" s="362"/>
      <c r="F43" s="362"/>
      <c r="G43" s="362"/>
      <c r="H43" s="376"/>
      <c r="I43" s="362"/>
      <c r="J43" s="362"/>
      <c r="K43" s="335"/>
      <c r="L43" s="130"/>
      <c r="M43" s="133"/>
    </row>
    <row r="44" spans="1:13" ht="12.75">
      <c r="A44" s="335"/>
      <c r="B44" s="194" t="s">
        <v>60</v>
      </c>
      <c r="C44" s="337"/>
      <c r="D44" s="182" t="s">
        <v>276</v>
      </c>
      <c r="E44" s="194" t="s">
        <v>321</v>
      </c>
      <c r="F44" s="364">
        <v>1</v>
      </c>
      <c r="G44" s="364">
        <v>2</v>
      </c>
      <c r="H44" s="365" t="s">
        <v>318</v>
      </c>
      <c r="I44" s="364">
        <v>4</v>
      </c>
      <c r="J44" s="364">
        <v>5</v>
      </c>
      <c r="K44" s="335"/>
      <c r="L44" s="130"/>
      <c r="M44" s="133"/>
    </row>
    <row r="45" spans="1:13" ht="13.5" thickBot="1">
      <c r="A45" s="335"/>
      <c r="B45" s="183" t="s">
        <v>682</v>
      </c>
      <c r="C45" s="366"/>
      <c r="D45" s="926">
        <f>1/D10</f>
        <v>0.2</v>
      </c>
      <c r="E45" s="377">
        <f>I5</f>
        <v>7</v>
      </c>
      <c r="F45" s="368">
        <f>H45</f>
        <v>1.4000000000000001</v>
      </c>
      <c r="G45" s="369">
        <f>H45</f>
        <v>1.4000000000000001</v>
      </c>
      <c r="H45" s="715">
        <f>D45*E45</f>
        <v>1.4000000000000001</v>
      </c>
      <c r="I45" s="371">
        <f>H45</f>
        <v>1.4000000000000001</v>
      </c>
      <c r="J45" s="368">
        <f>H45</f>
        <v>1.4000000000000001</v>
      </c>
      <c r="K45" s="335"/>
      <c r="L45" s="142"/>
      <c r="M45" s="133"/>
    </row>
    <row r="46" spans="1:13" ht="13.5" thickBot="1">
      <c r="A46" s="335"/>
      <c r="B46" s="183" t="s">
        <v>683</v>
      </c>
      <c r="C46" s="366"/>
      <c r="D46" s="378">
        <f>IF(J6="","",J6)</f>
        <v>35</v>
      </c>
      <c r="E46" s="379">
        <f>I6</f>
        <v>0.25</v>
      </c>
      <c r="F46" s="368">
        <f>(+J6*F28/$H$28)*$E$46</f>
        <v>7.000000000000001</v>
      </c>
      <c r="G46" s="369">
        <f>(+J6*G28/$H$28)*$E$46</f>
        <v>7.875</v>
      </c>
      <c r="H46" s="370"/>
      <c r="I46" s="371">
        <f>(+J6*I28/$H$28)*$E$46</f>
        <v>9.625000000000002</v>
      </c>
      <c r="J46" s="368">
        <f>(+J6*J28/$H$28)*$E$46</f>
        <v>10.499999999999998</v>
      </c>
      <c r="K46" s="335"/>
      <c r="L46" s="142"/>
      <c r="M46" s="133"/>
    </row>
    <row r="47" spans="1:13" ht="13.5" thickBot="1">
      <c r="A47" s="335"/>
      <c r="B47" s="183" t="s">
        <v>684</v>
      </c>
      <c r="C47" s="366"/>
      <c r="D47" s="367">
        <f>IF(J7="","",J7)</f>
        <v>56</v>
      </c>
      <c r="E47" s="379">
        <f>I7</f>
        <v>0.21</v>
      </c>
      <c r="F47" s="368">
        <f>J7*F27*E47</f>
        <v>9.408000000000001</v>
      </c>
      <c r="G47" s="369">
        <f>J7*G27*E47</f>
        <v>10.584</v>
      </c>
      <c r="H47" s="370"/>
      <c r="I47" s="371">
        <f>J7*I27*E47</f>
        <v>12.936000000000002</v>
      </c>
      <c r="J47" s="368">
        <f>J7*J27*E47</f>
        <v>14.112</v>
      </c>
      <c r="K47" s="335"/>
      <c r="L47" s="142"/>
      <c r="M47" s="133"/>
    </row>
    <row r="48" spans="1:14" ht="13.5" thickBot="1">
      <c r="A48" s="335"/>
      <c r="B48" s="183" t="s">
        <v>685</v>
      </c>
      <c r="C48" s="366"/>
      <c r="D48" s="1007"/>
      <c r="E48" s="379">
        <f>I9</f>
        <v>8</v>
      </c>
      <c r="F48" s="368">
        <f>N48</f>
        <v>8</v>
      </c>
      <c r="G48" s="369">
        <f>N48</f>
        <v>8</v>
      </c>
      <c r="H48" s="370"/>
      <c r="I48" s="371">
        <f>N48</f>
        <v>8</v>
      </c>
      <c r="J48" s="368">
        <f>N48</f>
        <v>8</v>
      </c>
      <c r="K48" s="335"/>
      <c r="L48" s="130"/>
      <c r="M48" s="133"/>
      <c r="N48" s="370">
        <f>I9</f>
        <v>8</v>
      </c>
    </row>
    <row r="49" spans="1:14" ht="13.5" thickBot="1">
      <c r="A49" s="335"/>
      <c r="B49" s="183" t="s">
        <v>638</v>
      </c>
      <c r="C49" s="366"/>
      <c r="D49" s="1008"/>
      <c r="E49" s="382">
        <f>I10</f>
        <v>14</v>
      </c>
      <c r="F49" s="368">
        <f>N49*0.8</f>
        <v>11.200000000000001</v>
      </c>
      <c r="G49" s="369">
        <f>N49*0.9</f>
        <v>12.6</v>
      </c>
      <c r="H49" s="370"/>
      <c r="I49" s="371">
        <f>N49*1.1</f>
        <v>15.400000000000002</v>
      </c>
      <c r="J49" s="368">
        <f>N49*1.2</f>
        <v>16.8</v>
      </c>
      <c r="K49" s="335"/>
      <c r="L49" s="130"/>
      <c r="M49" s="133"/>
      <c r="N49" s="370">
        <f>I10</f>
        <v>14</v>
      </c>
    </row>
    <row r="50" spans="1:14" ht="13.5" thickBot="1">
      <c r="A50" s="335"/>
      <c r="B50" s="183" t="s">
        <v>644</v>
      </c>
      <c r="C50" s="366"/>
      <c r="D50" s="1009"/>
      <c r="E50" s="379">
        <f>I13</f>
        <v>2.923076923076923</v>
      </c>
      <c r="F50" s="371">
        <f>N50</f>
        <v>2.923076923076923</v>
      </c>
      <c r="G50" s="369">
        <f>N50</f>
        <v>2.923076923076923</v>
      </c>
      <c r="H50" s="370"/>
      <c r="I50" s="371">
        <f>N50</f>
        <v>2.923076923076923</v>
      </c>
      <c r="J50" s="368">
        <f>N50</f>
        <v>2.923076923076923</v>
      </c>
      <c r="K50" s="335"/>
      <c r="L50" s="130"/>
      <c r="M50" s="133"/>
      <c r="N50" s="370">
        <f>I13</f>
        <v>2.923076923076923</v>
      </c>
    </row>
    <row r="51" spans="1:14" ht="13.5" thickBot="1">
      <c r="A51" s="335"/>
      <c r="B51" s="183" t="s">
        <v>686</v>
      </c>
      <c r="C51" s="366"/>
      <c r="D51" s="1008"/>
      <c r="E51" s="384">
        <f>I14</f>
        <v>42</v>
      </c>
      <c r="F51" s="368">
        <f>N51</f>
        <v>42</v>
      </c>
      <c r="G51" s="369">
        <f>N51</f>
        <v>42</v>
      </c>
      <c r="H51" s="370"/>
      <c r="I51" s="371">
        <f>N51</f>
        <v>42</v>
      </c>
      <c r="J51" s="368">
        <f>N51</f>
        <v>42</v>
      </c>
      <c r="K51" s="335"/>
      <c r="L51" s="130"/>
      <c r="M51" s="133"/>
      <c r="N51" s="370">
        <f>I14</f>
        <v>42</v>
      </c>
    </row>
    <row r="52" spans="1:13" ht="12.75">
      <c r="A52" s="335"/>
      <c r="B52" s="183" t="str">
        <f>"Einstreu ("&amp;D18&amp;" Tage Stallhaltung)"</f>
        <v>Einstreu (180 Tage Stallhaltung)</v>
      </c>
      <c r="C52" s="366"/>
      <c r="D52" s="1008"/>
      <c r="E52" s="379">
        <f>IF(H15="",0,H15*100)</f>
        <v>9</v>
      </c>
      <c r="F52" s="368">
        <f>$I$15*180/100*$E$52</f>
        <v>13.77</v>
      </c>
      <c r="G52" s="369">
        <f>$I$15*180/100*$E$52</f>
        <v>13.77</v>
      </c>
      <c r="H52" s="425">
        <f>$I$15*180/100*$E$52</f>
        <v>13.77</v>
      </c>
      <c r="I52" s="371">
        <f>$I$15*180/100*$E$52</f>
        <v>13.77</v>
      </c>
      <c r="J52" s="368">
        <f>$I$15*180/100*$E$52</f>
        <v>13.77</v>
      </c>
      <c r="K52" s="335"/>
      <c r="L52" s="130"/>
      <c r="M52" s="133"/>
    </row>
    <row r="53" spans="1:13" ht="12.75">
      <c r="A53" s="335"/>
      <c r="B53" s="183" t="s">
        <v>651</v>
      </c>
      <c r="C53" s="366"/>
      <c r="D53" s="1008"/>
      <c r="E53" s="379">
        <f>I16</f>
        <v>6</v>
      </c>
      <c r="F53" s="368">
        <f>H53</f>
        <v>6</v>
      </c>
      <c r="G53" s="369">
        <f>H53</f>
        <v>6</v>
      </c>
      <c r="H53" s="425">
        <f>I16</f>
        <v>6</v>
      </c>
      <c r="I53" s="371">
        <f>H53</f>
        <v>6</v>
      </c>
      <c r="J53" s="368">
        <f>H53</f>
        <v>6</v>
      </c>
      <c r="K53" s="385"/>
      <c r="L53" s="130"/>
      <c r="M53" s="133"/>
    </row>
    <row r="54" spans="1:13" ht="13.5" thickBot="1">
      <c r="A54" s="335"/>
      <c r="B54" s="183" t="s">
        <v>653</v>
      </c>
      <c r="C54" s="366"/>
      <c r="D54" s="1008"/>
      <c r="E54" s="379"/>
      <c r="F54" s="368">
        <f>H54</f>
        <v>15</v>
      </c>
      <c r="G54" s="369">
        <f>H54</f>
        <v>15</v>
      </c>
      <c r="H54" s="425">
        <f>I17</f>
        <v>15</v>
      </c>
      <c r="I54" s="371">
        <f>H54</f>
        <v>15</v>
      </c>
      <c r="J54" s="368">
        <f>H54</f>
        <v>15</v>
      </c>
      <c r="K54" s="385"/>
      <c r="L54" s="130"/>
      <c r="M54" s="133"/>
    </row>
    <row r="55" spans="1:13" ht="13.5" thickBot="1">
      <c r="A55" s="335"/>
      <c r="B55" s="200" t="s">
        <v>687</v>
      </c>
      <c r="C55" s="200"/>
      <c r="D55" s="200" t="s">
        <v>681</v>
      </c>
      <c r="E55" s="200"/>
      <c r="F55" s="372">
        <f>SUM(F45:F54)</f>
        <v>116.70107692307691</v>
      </c>
      <c r="G55" s="373">
        <f>SUM(G45:G54)</f>
        <v>120.15207692307692</v>
      </c>
      <c r="H55" s="374"/>
      <c r="I55" s="375">
        <f>SUM(I45:I54)</f>
        <v>127.05407692307692</v>
      </c>
      <c r="J55" s="372">
        <f>SUM(J45:J54)</f>
        <v>130.5050769230769</v>
      </c>
      <c r="K55" s="335"/>
      <c r="L55" s="130"/>
      <c r="M55" s="133"/>
    </row>
    <row r="56" spans="1:13" ht="13.5" thickBot="1">
      <c r="A56" s="335"/>
      <c r="B56" s="257" t="s">
        <v>688</v>
      </c>
      <c r="C56" s="258"/>
      <c r="D56" s="258" t="s">
        <v>681</v>
      </c>
      <c r="E56" s="258"/>
      <c r="F56" s="386">
        <f>+F42-F55</f>
        <v>33.58892307692311</v>
      </c>
      <c r="G56" s="387">
        <f>+G42-G55</f>
        <v>46.69292307692308</v>
      </c>
      <c r="H56" s="388"/>
      <c r="I56" s="389">
        <f>+I42-I55</f>
        <v>72.90092307692309</v>
      </c>
      <c r="J56" s="386">
        <f>+J42-J55</f>
        <v>86.00492307692309</v>
      </c>
      <c r="K56" s="335"/>
      <c r="L56" s="130"/>
      <c r="M56" s="133"/>
    </row>
    <row r="57" spans="1:13" ht="3.75" customHeight="1">
      <c r="A57" s="335"/>
      <c r="B57" s="362"/>
      <c r="C57" s="362"/>
      <c r="D57" s="362"/>
      <c r="E57" s="362"/>
      <c r="F57" s="362"/>
      <c r="G57" s="362"/>
      <c r="H57" s="376"/>
      <c r="I57" s="362"/>
      <c r="J57" s="362"/>
      <c r="K57" s="335"/>
      <c r="L57" s="130"/>
      <c r="M57" s="133"/>
    </row>
    <row r="58" spans="1:13" ht="12.75">
      <c r="A58" s="335"/>
      <c r="B58" s="194" t="s">
        <v>324</v>
      </c>
      <c r="C58" s="349"/>
      <c r="D58" s="349"/>
      <c r="E58" s="349"/>
      <c r="F58" s="364">
        <v>1</v>
      </c>
      <c r="G58" s="364">
        <v>2</v>
      </c>
      <c r="H58" s="365" t="s">
        <v>318</v>
      </c>
      <c r="I58" s="364">
        <v>4</v>
      </c>
      <c r="J58" s="364">
        <v>5</v>
      </c>
      <c r="K58" s="335"/>
      <c r="L58" s="130"/>
      <c r="M58" s="133"/>
    </row>
    <row r="59" spans="1:13" ht="13.5" thickBot="1">
      <c r="A59" s="335"/>
      <c r="B59" s="183" t="s">
        <v>689</v>
      </c>
      <c r="C59" s="366"/>
      <c r="D59" s="927">
        <f>IF(D22="","",D22)</f>
        <v>2230.8</v>
      </c>
      <c r="E59" s="928">
        <f>IF('[2]Lamm'!I36="","",'[2]Lamm'!I36)</f>
        <v>0.02</v>
      </c>
      <c r="F59" s="368">
        <f>IF(OR($D$59="",$E$59=""),"",$D$59*$E$59)</f>
        <v>44.61600000000001</v>
      </c>
      <c r="G59" s="369">
        <f>IF(OR($D$59="",$E$59=""),"",$D$59*$E$59)</f>
        <v>44.61600000000001</v>
      </c>
      <c r="H59" s="715">
        <f>IF(OR($D$59="",$E$59=""),"",$D$59*$E$59)</f>
        <v>44.61600000000001</v>
      </c>
      <c r="I59" s="371">
        <f>IF(OR($D$59="",$E$59=""),"",$D$59*$E$59)</f>
        <v>44.61600000000001</v>
      </c>
      <c r="J59" s="368">
        <f>IF(OR($D$59="",$E$59=""),"",$D$59*$E$59)</f>
        <v>44.61600000000001</v>
      </c>
      <c r="K59" s="335"/>
      <c r="L59" s="130"/>
      <c r="M59" s="133"/>
    </row>
    <row r="60" spans="1:13" ht="13.5" thickBot="1">
      <c r="A60" s="335"/>
      <c r="B60" s="257" t="s">
        <v>325</v>
      </c>
      <c r="C60" s="258"/>
      <c r="D60" s="258"/>
      <c r="E60" s="258"/>
      <c r="F60" s="386">
        <f>IF(OR(F56="",F59=""),"",F56-F59)</f>
        <v>-11.027076923076898</v>
      </c>
      <c r="G60" s="387">
        <f>IF(OR(G56="",G59=""),"",G56-G59)</f>
        <v>2.076923076923073</v>
      </c>
      <c r="H60" s="388"/>
      <c r="I60" s="389">
        <f>IF(OR(I56="",I59=""),"",I56-I59)</f>
        <v>28.284923076923086</v>
      </c>
      <c r="J60" s="386">
        <f>IF(OR(J56="",J59=""),"",J56-J59)</f>
        <v>41.388923076923085</v>
      </c>
      <c r="K60" s="335"/>
      <c r="L60" s="130"/>
      <c r="M60" s="133"/>
    </row>
    <row r="61" spans="1:13" ht="3.75" customHeight="1">
      <c r="A61" s="335"/>
      <c r="B61" s="362"/>
      <c r="C61" s="362"/>
      <c r="D61" s="362"/>
      <c r="E61" s="362"/>
      <c r="F61" s="362"/>
      <c r="G61" s="362"/>
      <c r="H61" s="376"/>
      <c r="I61" s="362"/>
      <c r="J61" s="362"/>
      <c r="K61" s="335"/>
      <c r="L61" s="130"/>
      <c r="M61" s="133"/>
    </row>
    <row r="62" spans="1:13" ht="12.75">
      <c r="A62" s="335"/>
      <c r="B62" s="194" t="s">
        <v>170</v>
      </c>
      <c r="C62" s="182"/>
      <c r="D62" s="182"/>
      <c r="E62" s="182" t="s">
        <v>188</v>
      </c>
      <c r="F62" s="364">
        <v>1</v>
      </c>
      <c r="G62" s="364">
        <v>2</v>
      </c>
      <c r="H62" s="365" t="s">
        <v>318</v>
      </c>
      <c r="I62" s="364">
        <v>4</v>
      </c>
      <c r="J62" s="364">
        <v>5</v>
      </c>
      <c r="K62" s="335"/>
      <c r="L62" s="130"/>
      <c r="M62" s="133"/>
    </row>
    <row r="63" spans="1:13" ht="12.75">
      <c r="A63" s="335"/>
      <c r="B63" s="210" t="str">
        <f>IF('[2]Lamm'!B36="","",'[2]Lamm'!B36)</f>
        <v>Mutterschafprämie</v>
      </c>
      <c r="C63" s="214"/>
      <c r="D63" s="214"/>
      <c r="E63" s="379">
        <f>IF('[2]Lamm'!D36="","",'[2]Lamm'!D36)</f>
        <v>22.7</v>
      </c>
      <c r="F63" s="368">
        <f aca="true" t="shared" si="0" ref="F63:G65">IF($E63="","",$E63)</f>
        <v>22.7</v>
      </c>
      <c r="G63" s="369">
        <f t="shared" si="0"/>
        <v>22.7</v>
      </c>
      <c r="H63" s="425">
        <f>E63</f>
        <v>22.7</v>
      </c>
      <c r="I63" s="371">
        <f aca="true" t="shared" si="1" ref="I63:J65">IF($E63="","",$E63)</f>
        <v>22.7</v>
      </c>
      <c r="J63" s="368">
        <f t="shared" si="1"/>
        <v>22.7</v>
      </c>
      <c r="K63" s="335"/>
      <c r="L63" s="130"/>
      <c r="M63" s="717"/>
    </row>
    <row r="64" spans="1:13" ht="12.75">
      <c r="A64" s="335"/>
      <c r="B64" s="210">
        <f>IF('[2]Lamm'!B38="","",'[2]Lamm'!B38)</f>
      </c>
      <c r="C64" s="214"/>
      <c r="D64" s="214"/>
      <c r="E64" s="379">
        <f>IF('[2]Lamm'!D38="","",'[2]Lamm'!D38)</f>
      </c>
      <c r="F64" s="368">
        <f t="shared" si="0"/>
      </c>
      <c r="G64" s="369">
        <f t="shared" si="0"/>
      </c>
      <c r="H64" s="425">
        <f>E64</f>
      </c>
      <c r="I64" s="371">
        <f t="shared" si="1"/>
      </c>
      <c r="J64" s="368">
        <f t="shared" si="1"/>
      </c>
      <c r="K64" s="335"/>
      <c r="L64" s="130"/>
      <c r="M64" s="717"/>
    </row>
    <row r="65" spans="1:13" ht="13.5" thickBot="1">
      <c r="A65" s="335"/>
      <c r="B65" s="210">
        <f>IF('[2]Lamm'!B40="","",'[2]Lamm'!B40)</f>
      </c>
      <c r="C65" s="214"/>
      <c r="D65" s="214"/>
      <c r="E65" s="379">
        <f>IF('[2]Lamm'!D40="","",'[2]Lamm'!D40)</f>
      </c>
      <c r="F65" s="368">
        <f t="shared" si="0"/>
      </c>
      <c r="G65" s="369">
        <f t="shared" si="0"/>
      </c>
      <c r="H65" s="715">
        <f>E65</f>
      </c>
      <c r="I65" s="371">
        <f t="shared" si="1"/>
      </c>
      <c r="J65" s="368">
        <f t="shared" si="1"/>
      </c>
      <c r="K65" s="335"/>
      <c r="L65" s="130"/>
      <c r="M65" s="717"/>
    </row>
    <row r="66" spans="1:13" ht="13.5" thickBot="1">
      <c r="A66" s="335"/>
      <c r="B66" s="257" t="s">
        <v>690</v>
      </c>
      <c r="C66" s="258"/>
      <c r="D66" s="258"/>
      <c r="E66" s="258"/>
      <c r="F66" s="386">
        <f>IF(F60="","",SUM(F60,F63:F65))</f>
        <v>11.672923076923102</v>
      </c>
      <c r="G66" s="387">
        <f>IF(G60="","",SUM(G60,G63:G65))</f>
        <v>24.776923076923072</v>
      </c>
      <c r="H66" s="388"/>
      <c r="I66" s="389">
        <f>IF(I60="","",SUM(I60,I63:I65))</f>
        <v>50.98492307692308</v>
      </c>
      <c r="J66" s="386">
        <f>IF(J60="","",SUM(J60,J63:J65))</f>
        <v>64.08892307692308</v>
      </c>
      <c r="K66" s="335"/>
      <c r="L66" s="130"/>
      <c r="M66" s="717"/>
    </row>
    <row r="67" spans="1:13" ht="3.75" customHeight="1">
      <c r="A67" s="335"/>
      <c r="B67" s="362"/>
      <c r="C67" s="362"/>
      <c r="D67" s="362"/>
      <c r="E67" s="362"/>
      <c r="F67" s="362"/>
      <c r="G67" s="362"/>
      <c r="H67" s="376"/>
      <c r="I67" s="362"/>
      <c r="J67" s="362"/>
      <c r="K67" s="335"/>
      <c r="L67" s="130"/>
      <c r="M67" s="717"/>
    </row>
    <row r="68" spans="1:13" ht="13.5" thickBot="1">
      <c r="A68" s="335"/>
      <c r="B68" s="194" t="s">
        <v>327</v>
      </c>
      <c r="C68" s="182"/>
      <c r="D68" s="182"/>
      <c r="E68" s="349"/>
      <c r="F68" s="364">
        <v>1</v>
      </c>
      <c r="G68" s="364">
        <v>2</v>
      </c>
      <c r="H68" s="365" t="s">
        <v>318</v>
      </c>
      <c r="I68" s="364">
        <v>4</v>
      </c>
      <c r="J68" s="364">
        <v>5</v>
      </c>
      <c r="K68" s="335"/>
      <c r="L68" s="130"/>
      <c r="M68" s="717"/>
    </row>
    <row r="69" spans="1:13" ht="13.5" thickBot="1">
      <c r="A69" s="335"/>
      <c r="B69" s="398"/>
      <c r="C69" s="399"/>
      <c r="D69" s="399"/>
      <c r="E69" s="399" t="s">
        <v>329</v>
      </c>
      <c r="F69" s="400">
        <f>IF($E$73="","",F66/$E$73)</f>
      </c>
      <c r="G69" s="401">
        <f>IF($E$73="","",G66/$E$73)</f>
      </c>
      <c r="H69" s="402"/>
      <c r="I69" s="403">
        <f>IF($E$73="","",I66/$E$73)</f>
      </c>
      <c r="J69" s="400">
        <f>IF($E$73="","",J66/$E$73)</f>
      </c>
      <c r="K69" s="335"/>
      <c r="L69" s="130"/>
      <c r="M69" s="717"/>
    </row>
    <row r="70" spans="1:13" ht="12.75">
      <c r="A70" s="335"/>
      <c r="B70" s="183" t="s">
        <v>663</v>
      </c>
      <c r="C70" s="392"/>
      <c r="D70" s="392"/>
      <c r="E70" s="929">
        <f>IF(I22="","",I22)</f>
        <v>7.666666666666667</v>
      </c>
      <c r="F70" s="394"/>
      <c r="G70" s="394"/>
      <c r="H70" s="395"/>
      <c r="I70" s="394"/>
      <c r="J70" s="394"/>
      <c r="K70" s="335"/>
      <c r="L70" s="130"/>
      <c r="M70" s="717"/>
    </row>
    <row r="71" spans="1:13" ht="12.75">
      <c r="A71" s="335"/>
      <c r="B71" s="183" t="s">
        <v>665</v>
      </c>
      <c r="C71" s="392"/>
      <c r="D71" s="392"/>
      <c r="E71" s="929">
        <f>IF(I23="","",I23)</f>
        <v>3.5</v>
      </c>
      <c r="F71" s="394"/>
      <c r="G71" s="394"/>
      <c r="H71" s="395"/>
      <c r="I71" s="394"/>
      <c r="J71" s="394"/>
      <c r="K71" s="335"/>
      <c r="L71" s="130"/>
      <c r="M71" s="717"/>
    </row>
    <row r="72" spans="1:13" ht="13.5" thickBot="1">
      <c r="A72" s="335"/>
      <c r="B72" s="183" t="s">
        <v>691</v>
      </c>
      <c r="C72" s="392"/>
      <c r="D72" s="392"/>
      <c r="E72" s="929">
        <f>IF(I24="","",I24)</f>
        <v>1.5</v>
      </c>
      <c r="F72" s="394"/>
      <c r="G72" s="394"/>
      <c r="H72" s="395"/>
      <c r="I72" s="394"/>
      <c r="J72" s="394"/>
      <c r="K72" s="335"/>
      <c r="L72" s="130"/>
      <c r="M72" s="717"/>
    </row>
    <row r="73" spans="1:13" ht="13.5" thickBot="1">
      <c r="A73" s="335"/>
      <c r="B73" s="183"/>
      <c r="C73" s="392"/>
      <c r="D73" s="397" t="s">
        <v>692</v>
      </c>
      <c r="E73" s="930"/>
      <c r="F73" s="394"/>
      <c r="G73" s="394"/>
      <c r="H73" s="395"/>
      <c r="I73" s="394"/>
      <c r="J73" s="394"/>
      <c r="K73" s="335"/>
      <c r="L73" s="130"/>
      <c r="M73" s="133"/>
    </row>
    <row r="74" spans="1:13" ht="12.75">
      <c r="A74" s="335"/>
      <c r="B74" s="1"/>
      <c r="C74" s="1"/>
      <c r="D74" s="1"/>
      <c r="E74" s="1"/>
      <c r="F74" s="1"/>
      <c r="G74" s="1"/>
      <c r="H74" s="1"/>
      <c r="I74" s="1"/>
      <c r="J74" s="1"/>
      <c r="K74" s="335"/>
      <c r="L74" s="130"/>
      <c r="M74" s="133"/>
    </row>
    <row r="75" spans="1:13" ht="12.75" hidden="1">
      <c r="A75" s="335"/>
      <c r="B75" s="335"/>
      <c r="C75" s="335"/>
      <c r="D75" s="335"/>
      <c r="E75" s="335"/>
      <c r="F75" s="335"/>
      <c r="G75" s="335"/>
      <c r="H75" s="335"/>
      <c r="I75" s="335"/>
      <c r="J75" s="335"/>
      <c r="K75" s="335"/>
      <c r="L75" s="335"/>
      <c r="M75" s="220"/>
    </row>
    <row r="76" spans="12:13" ht="12.75" hidden="1">
      <c r="L76" s="18"/>
      <c r="M76" s="220"/>
    </row>
    <row r="77" spans="2:13" ht="12.75" hidden="1">
      <c r="B77" s="404"/>
      <c r="C77" s="404"/>
      <c r="D77" s="404"/>
      <c r="E77" s="404"/>
      <c r="F77" s="404"/>
      <c r="G77" s="404"/>
      <c r="H77" s="404"/>
      <c r="I77" s="404"/>
      <c r="J77" s="404"/>
      <c r="L77" s="18"/>
      <c r="M77" s="220"/>
    </row>
    <row r="78" spans="2:13" ht="12.75" hidden="1">
      <c r="B78" s="404"/>
      <c r="C78" s="404"/>
      <c r="D78" s="404"/>
      <c r="E78" s="404"/>
      <c r="F78" s="404"/>
      <c r="G78" s="404"/>
      <c r="H78" s="404"/>
      <c r="I78" s="404"/>
      <c r="J78" s="404"/>
      <c r="L78" s="18"/>
      <c r="M78" s="220"/>
    </row>
    <row r="79" spans="2:12" ht="12.75" hidden="1">
      <c r="B79" s="405"/>
      <c r="C79" s="405"/>
      <c r="D79" s="405"/>
      <c r="E79" s="405"/>
      <c r="F79" s="405"/>
      <c r="G79" s="405"/>
      <c r="H79" s="405"/>
      <c r="I79" s="405"/>
      <c r="J79" s="405"/>
      <c r="L79" s="18"/>
    </row>
    <row r="80" ht="12.75" hidden="1">
      <c r="L80" s="18"/>
    </row>
  </sheetData>
  <sheetProtection sheet="1" objects="1" scenarios="1"/>
  <mergeCells count="1">
    <mergeCell ref="M1:M2"/>
  </mergeCells>
  <conditionalFormatting sqref="H63">
    <cfRule type="expression" priority="1" dxfId="41" stopIfTrue="1">
      <formula>B63=""</formula>
    </cfRule>
  </conditionalFormatting>
  <conditionalFormatting sqref="E70:E72 D46:D47 D21:E24 E5:E7 D59:E59 D5:D16 E45:E48 E63 E9:E17 D18:E18 E53">
    <cfRule type="cellIs" priority="2" dxfId="52" operator="equal" stopIfTrue="1">
      <formula>""</formula>
    </cfRule>
  </conditionalFormatting>
  <conditionalFormatting sqref="F69:G69 I69:J69">
    <cfRule type="expression" priority="3" dxfId="90" stopIfTrue="1">
      <formula>$A$2="Du musst zuerst alle Berechnungen durchführen, um das Ergebnis ansehen zu können!"</formula>
    </cfRule>
  </conditionalFormatting>
  <conditionalFormatting sqref="F63:G63 I63:J63">
    <cfRule type="cellIs" priority="4" dxfId="52" operator="equal" stopIfTrue="1">
      <formula>""</formula>
    </cfRule>
    <cfRule type="expression" priority="5" dxfId="7" stopIfTrue="1">
      <formula>$A$2="Du musst zuerst alle Berechnungen durchführen, um das Ergebnis ansehen zu können!"</formula>
    </cfRule>
  </conditionalFormatting>
  <conditionalFormatting sqref="I59:J59 F59:G59 F39:G41 I39:J41 I45:J54 F45:G54">
    <cfRule type="expression" priority="6" dxfId="87" stopIfTrue="1">
      <formula>$A$2="Du musst zuerst alle Berechnungen durchführen, um das Ergebnis ansehen zu können!"</formula>
    </cfRule>
  </conditionalFormatting>
  <conditionalFormatting sqref="F55:G55 I55:J55 F42:G42 I42:J42">
    <cfRule type="expression" priority="7" dxfId="86" stopIfTrue="1">
      <formula>$A$2="Du musst zuerst alle Berechnungen durchführen, um das Ergebnis ansehen zu können!"</formula>
    </cfRule>
  </conditionalFormatting>
  <conditionalFormatting sqref="F56:G56 I56:J56 F60:G60 I60:J60 F66:G66 I66:J66">
    <cfRule type="expression" priority="8" dxfId="85" stopIfTrue="1">
      <formula>$A$2="Du musst zuerst alle Berechnungen durchführen, um das Ergebnis ansehen zu können!"</formula>
    </cfRule>
  </conditionalFormatting>
  <conditionalFormatting sqref="H59">
    <cfRule type="cellIs" priority="9" dxfId="1" operator="equal" stopIfTrue="1">
      <formula>"noch leer"</formula>
    </cfRule>
  </conditionalFormatting>
  <conditionalFormatting sqref="E8">
    <cfRule type="expression" priority="10" dxfId="52" stopIfTrue="1">
      <formula>#REF!=""</formula>
    </cfRule>
  </conditionalFormatting>
  <printOptions headings="1" horizontalCentered="1"/>
  <pageMargins left="0.3937007874015748" right="0.3937007874015748" top="0.5905511811023623" bottom="0.3937007874015748" header="0" footer="0"/>
  <pageSetup horizontalDpi="300" verticalDpi="300" orientation="portrait" paperSize="9" r:id="rId4"/>
  <headerFooter alignWithMargins="0">
    <oddHeader>&amp;R&amp;8&amp;U&amp;F - Seite &amp;P/&amp;N</oddHeader>
  </headerFooter>
  <drawing r:id="rId3"/>
  <legacyDrawing r:id="rId2"/>
</worksheet>
</file>

<file path=xl/worksheets/sheet9.xml><?xml version="1.0" encoding="utf-8"?>
<worksheet xmlns="http://schemas.openxmlformats.org/spreadsheetml/2006/main" xmlns:r="http://schemas.openxmlformats.org/officeDocument/2006/relationships">
  <sheetPr>
    <tabColor indexed="10"/>
  </sheetPr>
  <dimension ref="A1:L67"/>
  <sheetViews>
    <sheetView showGridLines="0" zoomScalePageLayoutView="0" workbookViewId="0" topLeftCell="A1">
      <pane ySplit="6" topLeftCell="A7" activePane="bottomLeft" state="frozen"/>
      <selection pane="topLeft" activeCell="E12" sqref="E12:M18"/>
      <selection pane="bottomLeft" activeCell="I13" sqref="I13"/>
    </sheetView>
  </sheetViews>
  <sheetFormatPr defaultColWidth="0" defaultRowHeight="12.75" customHeight="1" zeroHeight="1"/>
  <cols>
    <col min="1" max="1" width="2.28125" style="1" customWidth="1"/>
    <col min="2" max="2" width="24.140625" style="1" customWidth="1"/>
    <col min="3" max="9" width="8.7109375" style="1" customWidth="1"/>
    <col min="10" max="10" width="2.28125" style="1" customWidth="1"/>
    <col min="11" max="11" width="0.85546875" style="178" customWidth="1"/>
    <col min="12" max="12" width="19.7109375" style="178" customWidth="1"/>
    <col min="13" max="16384" width="11.421875" style="1" hidden="1" customWidth="1"/>
  </cols>
  <sheetData>
    <row r="1" spans="1:12" ht="24.75" customHeight="1">
      <c r="A1" s="1139"/>
      <c r="B1" s="449" t="s">
        <v>354</v>
      </c>
      <c r="C1" s="450"/>
      <c r="D1" s="450"/>
      <c r="E1" s="450"/>
      <c r="F1" s="450"/>
      <c r="G1" s="450"/>
      <c r="H1" s="450"/>
      <c r="I1" s="450"/>
      <c r="J1" s="450"/>
      <c r="K1" s="129"/>
      <c r="L1" s="1043" t="s">
        <v>100</v>
      </c>
    </row>
    <row r="2" spans="1:12" s="36" customFormat="1" ht="12" customHeight="1">
      <c r="A2" s="1139"/>
      <c r="B2" s="408" t="str">
        <f>IF('[2]ILeist'!H12="","-",'[2]ILeist'!H12)</f>
        <v>Dauergrünland 1-schnittig</v>
      </c>
      <c r="C2" s="450"/>
      <c r="D2" s="450"/>
      <c r="E2" s="450"/>
      <c r="F2" s="450"/>
      <c r="G2" s="450"/>
      <c r="H2" s="450"/>
      <c r="I2" s="450"/>
      <c r="J2" s="450"/>
      <c r="K2" s="130"/>
      <c r="L2" s="1043"/>
    </row>
    <row r="3" spans="1:12" ht="11.25" customHeight="1">
      <c r="A3" s="220"/>
      <c r="B3" s="220"/>
      <c r="C3" s="220"/>
      <c r="D3" s="220"/>
      <c r="E3" s="220"/>
      <c r="F3" s="220"/>
      <c r="G3" s="220"/>
      <c r="H3" s="220"/>
      <c r="I3" s="220"/>
      <c r="J3" s="220"/>
      <c r="K3" s="130"/>
      <c r="L3" s="1043"/>
    </row>
    <row r="4" spans="1:12" ht="11.25" customHeight="1">
      <c r="A4" s="220"/>
      <c r="B4" s="722" t="s">
        <v>355</v>
      </c>
      <c r="C4" s="1140" t="str">
        <f>IF('[2]ILeist'!F12="","",'[2]ILeist'!F12&amp;" ha "&amp;IF('[2]ILeist'!H12="","-",'[2]ILeist'!H12))</f>
        <v>1 ha Dauergrünland 1-schnittig</v>
      </c>
      <c r="D4" s="1140"/>
      <c r="E4" s="220"/>
      <c r="F4" s="220"/>
      <c r="G4" s="220"/>
      <c r="H4" s="220"/>
      <c r="I4" s="220"/>
      <c r="J4" s="220"/>
      <c r="K4" s="130"/>
      <c r="L4" s="1043"/>
    </row>
    <row r="5" spans="1:12" ht="11.25" customHeight="1">
      <c r="A5" s="220"/>
      <c r="B5" s="722" t="s">
        <v>356</v>
      </c>
      <c r="C5" s="1141">
        <f>IF('[2]ILeist'!F14="","",'[2]ILeist'!F14)</f>
        <v>1</v>
      </c>
      <c r="D5" s="1141"/>
      <c r="E5" s="220"/>
      <c r="F5" s="220"/>
      <c r="G5" s="220"/>
      <c r="H5" s="220"/>
      <c r="I5" s="220"/>
      <c r="J5" s="220"/>
      <c r="K5" s="130"/>
      <c r="L5" s="1043"/>
    </row>
    <row r="6" spans="1:12" ht="11.25" customHeight="1">
      <c r="A6" s="220"/>
      <c r="B6" s="220"/>
      <c r="C6" s="220"/>
      <c r="D6" s="220"/>
      <c r="E6" s="220"/>
      <c r="F6" s="220"/>
      <c r="G6" s="220"/>
      <c r="H6" s="220"/>
      <c r="I6" s="220"/>
      <c r="J6" s="220"/>
      <c r="K6" s="130"/>
      <c r="L6" s="1043"/>
    </row>
    <row r="7" spans="1:12" ht="1.5" customHeight="1">
      <c r="A7" s="220"/>
      <c r="B7" s="249"/>
      <c r="C7" s="249"/>
      <c r="D7" s="249"/>
      <c r="E7" s="249"/>
      <c r="F7" s="249"/>
      <c r="G7" s="249"/>
      <c r="H7" s="249"/>
      <c r="I7" s="249"/>
      <c r="J7" s="220"/>
      <c r="K7" s="130"/>
      <c r="L7" s="133"/>
    </row>
    <row r="8" spans="1:12" ht="11.25" customHeight="1">
      <c r="A8" s="220"/>
      <c r="B8" s="215" t="s">
        <v>357</v>
      </c>
      <c r="C8" s="195" t="s">
        <v>358</v>
      </c>
      <c r="D8" s="723" t="s">
        <v>359</v>
      </c>
      <c r="E8" s="723"/>
      <c r="F8" s="723"/>
      <c r="G8" s="195" t="s">
        <v>360</v>
      </c>
      <c r="H8" s="723" t="s">
        <v>361</v>
      </c>
      <c r="I8" s="723"/>
      <c r="J8" s="220"/>
      <c r="K8" s="130"/>
      <c r="L8" s="133"/>
    </row>
    <row r="9" spans="1:12" ht="11.25" customHeight="1">
      <c r="A9" s="220"/>
      <c r="B9" s="724" t="s">
        <v>362</v>
      </c>
      <c r="C9" s="195" t="s">
        <v>363</v>
      </c>
      <c r="D9" s="451">
        <f>IF('[2]ILeist'!H28="","",'[2]ILeist'!H28)</f>
        <v>45</v>
      </c>
      <c r="E9" s="451">
        <f>IF('[2]ILeist'!J28="","",'[2]ILeist'!J28)</f>
      </c>
      <c r="F9" s="452">
        <f>IF('[2]ILeist'!L28="","",'[2]ILeist'!L28)</f>
      </c>
      <c r="G9" s="195" t="s">
        <v>363</v>
      </c>
      <c r="H9" s="195" t="s">
        <v>364</v>
      </c>
      <c r="I9" s="195" t="s">
        <v>337</v>
      </c>
      <c r="J9" s="220"/>
      <c r="K9" s="130"/>
      <c r="L9" s="133"/>
    </row>
    <row r="10" spans="1:12" ht="1.5" customHeight="1">
      <c r="A10" s="220"/>
      <c r="B10" s="724"/>
      <c r="C10" s="195"/>
      <c r="D10" s="195"/>
      <c r="E10" s="195"/>
      <c r="F10" s="195"/>
      <c r="G10" s="195"/>
      <c r="H10" s="195"/>
      <c r="I10" s="195"/>
      <c r="J10" s="220"/>
      <c r="K10" s="130"/>
      <c r="L10" s="133"/>
    </row>
    <row r="11" spans="1:12" ht="11.25" customHeight="1">
      <c r="A11" s="220"/>
      <c r="B11" s="216" t="str">
        <f>IF('[2]ILeist'!C32="","",'[2]ILeist'!C32)</f>
        <v>  Festmist</v>
      </c>
      <c r="C11" s="719">
        <f>IF('[2]ILeist'!Q32="","",'[2]ILeist'!Q32)</f>
        <v>4.933333333333334</v>
      </c>
      <c r="D11" s="719">
        <f>IF('[2]ILeist'!H32="x",1xDgl!$C11,"")</f>
      </c>
      <c r="E11" s="719">
        <f>IF('[2]ILeist'!J32="x",1xDgl!$C11,"")</f>
      </c>
      <c r="F11" s="719">
        <f>IF('[2]ILeist'!L32="x",1xDgl!$C11,"")</f>
      </c>
      <c r="G11" s="719">
        <f>IF(AND(C11&lt;&gt;"",H11&lt;&gt;""),C11,"")</f>
      </c>
      <c r="H11" s="719"/>
      <c r="I11" s="719" t="str">
        <f>IF('WD.1Dgl'!G24="noch leer","noch leer",'WD.1Dgl'!G24)</f>
        <v>noch leer</v>
      </c>
      <c r="J11" s="220"/>
      <c r="K11" s="130"/>
      <c r="L11" s="133"/>
    </row>
    <row r="12" spans="1:12" ht="11.25" customHeight="1" thickBot="1">
      <c r="A12" s="220"/>
      <c r="B12" s="216" t="str">
        <f>IF('[2]ILeist'!C34="","",'[2]ILeist'!C34)</f>
        <v>  Jauche</v>
      </c>
      <c r="C12" s="719">
        <f>IF('[2]ILeist'!Q34="","",'[2]ILeist'!Q34)</f>
        <v>3.2</v>
      </c>
      <c r="D12" s="719">
        <f>IF('[2]ILeist'!H34="x",1xDgl!$C12,"")</f>
      </c>
      <c r="E12" s="719">
        <f>IF('[2]ILeist'!J34="x",1xDgl!$C12,"")</f>
      </c>
      <c r="F12" s="719">
        <f>IF('[2]ILeist'!L34="x",1xDgl!$C12,"")</f>
      </c>
      <c r="G12" s="719">
        <f>IF(AND(C12&lt;&gt;"",H12&lt;&gt;""),C12,"")</f>
      </c>
      <c r="H12" s="719"/>
      <c r="I12" s="715">
        <f>IF('WD.1Dgl'!G49="noch leer","noch leer",'WD.1Dgl'!G49)</f>
        <v>30.272000000000002</v>
      </c>
      <c r="J12" s="220"/>
      <c r="K12" s="130"/>
      <c r="L12" s="133"/>
    </row>
    <row r="13" spans="1:12" ht="11.25" customHeight="1" thickBot="1">
      <c r="A13" s="220"/>
      <c r="B13" s="216" t="str">
        <f>IF('[2]ILeist'!C36="","",'[2]ILeist'!C36)</f>
        <v>  Abschleppen</v>
      </c>
      <c r="C13" s="719">
        <f>IF('[2]ILeist'!Q36="","",'[2]ILeist'!Q36)</f>
        <v>2.5</v>
      </c>
      <c r="D13" s="719">
        <f>IF('[2]ILeist'!H36="x",1xDgl!$C13,"")</f>
        <v>2.5</v>
      </c>
      <c r="E13" s="719">
        <f>IF('[2]ILeist'!J36="x",1xDgl!$C13,"")</f>
      </c>
      <c r="F13" s="719">
        <f>IF('[2]ILeist'!L36="x",1xDgl!$C13,"")</f>
      </c>
      <c r="G13" s="719">
        <f>IF(AND(C13&lt;&gt;"",H13&lt;&gt;""),C13,"")</f>
        <v>2.5</v>
      </c>
      <c r="H13" s="998">
        <f>IF('[2]ILeist'!N36="","",'[2]ILeist'!N36)</f>
        <v>0.92</v>
      </c>
      <c r="I13" s="370"/>
      <c r="J13" s="220"/>
      <c r="K13" s="130"/>
      <c r="L13" s="133"/>
    </row>
    <row r="14" spans="1:12" ht="11.25" customHeight="1">
      <c r="A14" s="220"/>
      <c r="B14" s="216" t="str">
        <f>IF('[2]ILeist'!C38="","",'[2]ILeist'!C38)</f>
        <v>  Pflegearbeiten</v>
      </c>
      <c r="C14" s="719">
        <f>IF('[2]ILeist'!Q38="","",'[2]ILeist'!Q38)</f>
        <v>4</v>
      </c>
      <c r="D14" s="719">
        <f>IF('[2]ILeist'!H38="x",1xDgl!$C14,"")</f>
      </c>
      <c r="E14" s="719">
        <f>IF('[2]ILeist'!J38="x",1xDgl!$C14,"")</f>
      </c>
      <c r="F14" s="719">
        <f>IF('[2]ILeist'!L38="x",1xDgl!$C14,"")</f>
      </c>
      <c r="G14" s="719">
        <f>IF(AND(C14&lt;&gt;"",H14&lt;&gt;""),C14,"")</f>
      </c>
      <c r="H14" s="719">
        <f>IF('[2]ILeist'!N38="","",'[2]ILeist'!N38)</f>
      </c>
      <c r="I14" s="716"/>
      <c r="J14" s="220"/>
      <c r="K14" s="130"/>
      <c r="L14" s="133"/>
    </row>
    <row r="15" spans="1:12" ht="11.25" customHeight="1" thickBot="1">
      <c r="A15" s="220"/>
      <c r="B15" s="216">
        <f>IF('[2]ILeist'!C40="","",'[2]ILeist'!C40)</f>
      </c>
      <c r="C15" s="719">
        <f>IF('[2]ILeist'!Q40="","",'[2]ILeist'!Q40)</f>
      </c>
      <c r="D15" s="719">
        <f>IF('[2]ILeist'!H40="x",1xDgl!$C15,"")</f>
      </c>
      <c r="E15" s="719">
        <f>IF('[2]ILeist'!J40="x",1xDgl!$C15,"")</f>
      </c>
      <c r="F15" s="719">
        <f>IF('[2]ILeist'!L40="x",1xDgl!$C15,"")</f>
      </c>
      <c r="G15" s="719">
        <f>IF(AND(C15&lt;&gt;"",H15&lt;&gt;""),C15,"")</f>
      </c>
      <c r="H15" s="719">
        <f>IF('[2]ILeist'!N40="","",'[2]ILeist'!N40)</f>
      </c>
      <c r="I15" s="715"/>
      <c r="J15" s="220"/>
      <c r="K15" s="130"/>
      <c r="L15" s="133"/>
    </row>
    <row r="16" spans="1:12" ht="11.25" customHeight="1" thickBot="1">
      <c r="A16" s="220"/>
      <c r="B16" s="262" t="s">
        <v>51</v>
      </c>
      <c r="C16" s="725">
        <f>SUM(C11:C15)</f>
        <v>14.633333333333333</v>
      </c>
      <c r="D16" s="725">
        <f>SUM(D11:D15)</f>
        <v>2.5</v>
      </c>
      <c r="E16" s="726"/>
      <c r="F16" s="726"/>
      <c r="G16" s="726"/>
      <c r="H16" s="726"/>
      <c r="I16" s="430"/>
      <c r="J16" s="220"/>
      <c r="K16" s="130"/>
      <c r="L16" s="133"/>
    </row>
    <row r="17" spans="1:12" ht="11.25" customHeight="1">
      <c r="A17" s="220"/>
      <c r="B17" s="727" t="str">
        <f>"1 x je Schnitt   → "&amp;C36&amp;" x"</f>
        <v>1 x je Schnitt   → 1 x</v>
      </c>
      <c r="C17" s="728">
        <f>IF('[2]ILeist'!F41="","",'[2]ILeist'!F41)</f>
      </c>
      <c r="D17" s="728"/>
      <c r="E17" s="728"/>
      <c r="F17" s="728"/>
      <c r="G17" s="728"/>
      <c r="H17" s="728">
        <f>IF('[2]ILeist'!N41="","",'[2]ILeist'!N41)</f>
      </c>
      <c r="I17" s="728"/>
      <c r="J17" s="220"/>
      <c r="K17" s="130"/>
      <c r="L17" s="133"/>
    </row>
    <row r="18" spans="1:12" ht="11.25" customHeight="1" thickBot="1">
      <c r="A18" s="220"/>
      <c r="B18" s="216" t="str">
        <f>IF('[2]ILeist'!C42="","",'[2]ILeist'!C42)</f>
        <v>  Mähen</v>
      </c>
      <c r="C18" s="719">
        <f>IF('[2]ILeist'!Q42="","",'[2]ILeist'!Q42)</f>
        <v>2.5</v>
      </c>
      <c r="D18" s="719">
        <f>IF('[2]ILeist'!H42="x",1xDgl!$C18,"")</f>
        <v>2.5</v>
      </c>
      <c r="E18" s="719">
        <f>IF('[2]ILeist'!J42="x",1xDgl!$C18,"")</f>
      </c>
      <c r="F18" s="719">
        <f>IF('[2]ILeist'!L42="x",1xDgl!$C18,"")</f>
      </c>
      <c r="G18" s="719">
        <f aca="true" t="shared" si="0" ref="G18:G26">IF(AND(C18&lt;&gt;"",H18&lt;&gt;""),C18,"")</f>
        <v>2.5</v>
      </c>
      <c r="H18" s="998">
        <f>IF('[2]ILeist'!N42="","",'[2]ILeist'!N42)</f>
        <v>1.76</v>
      </c>
      <c r="I18" s="425">
        <f>G18*H18</f>
        <v>4.4</v>
      </c>
      <c r="J18" s="220"/>
      <c r="K18" s="130"/>
      <c r="L18" s="133"/>
    </row>
    <row r="19" spans="1:12" ht="11.25" customHeight="1" thickBot="1">
      <c r="A19" s="220"/>
      <c r="B19" s="216" t="str">
        <f>IF('[2]ILeist'!C44="","",'[2]ILeist'!C44)</f>
        <v>  Zetten&amp;Wenden</v>
      </c>
      <c r="C19" s="719">
        <f>IF('[2]ILeist'!Q44="","",'[2]ILeist'!Q44)</f>
        <v>3</v>
      </c>
      <c r="D19" s="719">
        <f>IF('[2]ILeist'!H44="x",1xDgl!$C19,"")</f>
        <v>3</v>
      </c>
      <c r="E19" s="719">
        <f>IF('[2]ILeist'!J44="x",1xDgl!$C19,"")</f>
      </c>
      <c r="F19" s="719">
        <f>IF('[2]ILeist'!L44="x",1xDgl!$C19,"")</f>
      </c>
      <c r="G19" s="719">
        <f t="shared" si="0"/>
        <v>3</v>
      </c>
      <c r="H19" s="998">
        <f>IF('[2]ILeist'!N44="","",'[2]ILeist'!N44)</f>
        <v>1.5</v>
      </c>
      <c r="I19" s="370"/>
      <c r="J19" s="220"/>
      <c r="K19" s="130"/>
      <c r="L19" s="133"/>
    </row>
    <row r="20" spans="1:12" ht="11.25" customHeight="1" thickBot="1">
      <c r="A20" s="220"/>
      <c r="B20" s="216" t="str">
        <f>IF('[2]ILeist'!C46="","",'[2]ILeist'!C46)</f>
        <v>  Schwaden</v>
      </c>
      <c r="C20" s="719">
        <f>IF('[2]ILeist'!Q46="","",'[2]ILeist'!Q46)</f>
        <v>2</v>
      </c>
      <c r="D20" s="719">
        <f>IF('[2]ILeist'!H46="x",1xDgl!$C20,"")</f>
        <v>2</v>
      </c>
      <c r="E20" s="719">
        <f>IF('[2]ILeist'!J46="x",1xDgl!$C20,"")</f>
      </c>
      <c r="F20" s="719">
        <f>IF('[2]ILeist'!L46="x",1xDgl!$C20,"")</f>
      </c>
      <c r="G20" s="719">
        <f t="shared" si="0"/>
        <v>2</v>
      </c>
      <c r="H20" s="998">
        <f>IF('[2]ILeist'!N46="","",'[2]ILeist'!N46)</f>
        <v>0.71</v>
      </c>
      <c r="I20" s="370"/>
      <c r="J20" s="220"/>
      <c r="K20" s="130"/>
      <c r="L20" s="133"/>
    </row>
    <row r="21" spans="1:12" ht="11.25" customHeight="1" thickBot="1">
      <c r="A21" s="220"/>
      <c r="B21" s="216" t="str">
        <f>IF('[2]ILeist'!C48="","",'[2]ILeist'!C48)</f>
        <v>  Laden&amp;Transport</v>
      </c>
      <c r="C21" s="719">
        <f>IF('[2]ILeist'!Q48="","",'[2]ILeist'!Q48)</f>
        <v>6</v>
      </c>
      <c r="D21" s="719">
        <f>IF('[2]ILeist'!H48="x",1xDgl!$C21,"")</f>
        <v>6</v>
      </c>
      <c r="E21" s="719">
        <f>IF('[2]ILeist'!J48="x",1xDgl!$C21,"")</f>
      </c>
      <c r="F21" s="719">
        <f>IF('[2]ILeist'!L48="x",1xDgl!$C21,"")</f>
      </c>
      <c r="G21" s="719">
        <f t="shared" si="0"/>
        <v>6</v>
      </c>
      <c r="H21" s="998">
        <f>IF('[2]ILeist'!N48="","",'[2]ILeist'!N48)</f>
        <v>4.2</v>
      </c>
      <c r="I21" s="370"/>
      <c r="J21" s="220"/>
      <c r="K21" s="130"/>
      <c r="L21" s="133"/>
    </row>
    <row r="22" spans="1:12" ht="11.25" customHeight="1">
      <c r="A22" s="220"/>
      <c r="B22" s="216" t="str">
        <f>IF('[2]ILeist'!C50="","",'[2]ILeist'!C50)</f>
        <v>  Einlagern</v>
      </c>
      <c r="C22" s="719">
        <f>IF('[2]ILeist'!Q50="","",'[2]ILeist'!Q50)</f>
        <v>4</v>
      </c>
      <c r="D22" s="719">
        <f>IF('[2]ILeist'!H50="x",1xDgl!$C22,"")</f>
        <v>4</v>
      </c>
      <c r="E22" s="719">
        <f>IF('[2]ILeist'!J50="x",1xDgl!$C22,"")</f>
      </c>
      <c r="F22" s="719">
        <f>IF('[2]ILeist'!L50="x",1xDgl!$C22,"")</f>
      </c>
      <c r="G22" s="719">
        <f t="shared" si="0"/>
        <v>4</v>
      </c>
      <c r="H22" s="998">
        <f>IF('[2]ILeist'!N50="","",'[2]ILeist'!N50)</f>
        <v>1.83</v>
      </c>
      <c r="I22" s="716">
        <f>G22*H22</f>
        <v>7.32</v>
      </c>
      <c r="J22" s="220"/>
      <c r="K22" s="140"/>
      <c r="L22" s="133"/>
    </row>
    <row r="23" spans="1:12" ht="11.25" customHeight="1">
      <c r="A23" s="220"/>
      <c r="B23" s="216">
        <f>IF('[2]ILeist'!C52="","",'[2]ILeist'!C52)</f>
      </c>
      <c r="C23" s="719">
        <f>IF('[2]ILeist'!Q52="","",'[2]ILeist'!Q52)</f>
      </c>
      <c r="D23" s="719">
        <f>IF('[2]ILeist'!H52="x",1xDgl!$C23,"")</f>
      </c>
      <c r="E23" s="719">
        <f>IF('[2]ILeist'!J52="x",1xDgl!$C23,"")</f>
      </c>
      <c r="F23" s="719">
        <f>IF('[2]ILeist'!L52="x",1xDgl!$C23,"")</f>
      </c>
      <c r="G23" s="719">
        <f t="shared" si="0"/>
      </c>
      <c r="H23" s="719">
        <f>IF('[2]ILeist'!N52="","",'[2]ILeist'!N52)</f>
      </c>
      <c r="I23" s="999"/>
      <c r="J23" s="220"/>
      <c r="K23" s="130"/>
      <c r="L23" s="133"/>
    </row>
    <row r="24" spans="1:12" ht="11.25" customHeight="1">
      <c r="A24" s="220"/>
      <c r="B24" s="216">
        <f>IF('[2]ILeist'!C54="","",'[2]ILeist'!C54)</f>
      </c>
      <c r="C24" s="719">
        <f>IF('[2]ILeist'!Q54="","",'[2]ILeist'!Q54)</f>
      </c>
      <c r="D24" s="719">
        <f>IF('[2]ILeist'!H54="x",1xDgl!$C24,"")</f>
      </c>
      <c r="E24" s="719">
        <f>IF('[2]ILeist'!J54="x",1xDgl!$C24,"")</f>
      </c>
      <c r="F24" s="719">
        <f>IF('[2]ILeist'!L54="x",1xDgl!$C24,"")</f>
      </c>
      <c r="G24" s="719">
        <f t="shared" si="0"/>
      </c>
      <c r="H24" s="719">
        <f>IF('[2]ILeist'!N54="","",'[2]ILeist'!N54)</f>
      </c>
      <c r="I24" s="719"/>
      <c r="J24" s="220"/>
      <c r="K24" s="130"/>
      <c r="L24" s="133"/>
    </row>
    <row r="25" spans="1:12" ht="11.25" customHeight="1">
      <c r="A25" s="220"/>
      <c r="B25" s="216">
        <f>IF('[2]ILeist'!C56="","",'[2]ILeist'!C56)</f>
      </c>
      <c r="C25" s="719">
        <f>IF('[2]ILeist'!Q56="","",'[2]ILeist'!Q56)</f>
      </c>
      <c r="D25" s="719">
        <f>IF('[2]ILeist'!H56="x",1xDgl!$C25,"")</f>
      </c>
      <c r="E25" s="719">
        <f>IF('[2]ILeist'!J56="x",1xDgl!$C25,"")</f>
      </c>
      <c r="F25" s="719">
        <f>IF('[2]ILeist'!L56="x",1xDgl!$C25,"")</f>
      </c>
      <c r="G25" s="719">
        <f t="shared" si="0"/>
      </c>
      <c r="H25" s="719">
        <f>IF('[2]ILeist'!N56="","",'[2]ILeist'!N56)</f>
      </c>
      <c r="I25" s="719"/>
      <c r="J25" s="220"/>
      <c r="K25" s="130"/>
      <c r="L25" s="133"/>
    </row>
    <row r="26" spans="1:12" ht="11.25" customHeight="1" thickBot="1">
      <c r="A26" s="220"/>
      <c r="B26" s="216">
        <f>IF('[2]ILeist'!C58="","",'[2]ILeist'!C58)</f>
      </c>
      <c r="C26" s="719">
        <f>IF('[2]ILeist'!Q58="","",'[2]ILeist'!Q58)</f>
      </c>
      <c r="D26" s="719">
        <f>IF('[2]ILeist'!H58="x",1xDgl!$C26,"")</f>
      </c>
      <c r="E26" s="719">
        <f>IF('[2]ILeist'!J58="x",1xDgl!$C26,"")</f>
      </c>
      <c r="F26" s="719">
        <f>IF('[2]ILeist'!L58="x",1xDgl!$C26,"")</f>
      </c>
      <c r="G26" s="719">
        <f t="shared" si="0"/>
      </c>
      <c r="H26" s="719">
        <f>IF('[2]ILeist'!N58="","",'[2]ILeist'!N58)</f>
      </c>
      <c r="I26" s="1000"/>
      <c r="J26" s="220"/>
      <c r="K26" s="130"/>
      <c r="L26" s="133"/>
    </row>
    <row r="27" spans="1:12" ht="11.25" customHeight="1" thickBot="1">
      <c r="A27" s="220"/>
      <c r="B27" s="262" t="s">
        <v>53</v>
      </c>
      <c r="C27" s="725">
        <f>SUM(C18:C26)</f>
        <v>17.5</v>
      </c>
      <c r="D27" s="725">
        <f>SUM(D18:D26)</f>
        <v>17.5</v>
      </c>
      <c r="E27" s="729"/>
      <c r="F27" s="729"/>
      <c r="G27" s="729"/>
      <c r="H27" s="730"/>
      <c r="I27" s="430"/>
      <c r="J27" s="220"/>
      <c r="K27" s="130"/>
      <c r="L27" s="133"/>
    </row>
    <row r="28" spans="1:12" ht="11.25" customHeight="1" thickBot="1">
      <c r="A28" s="220"/>
      <c r="B28" s="215" t="s">
        <v>504</v>
      </c>
      <c r="C28" s="731"/>
      <c r="D28" s="731"/>
      <c r="E28" s="731"/>
      <c r="F28" s="731"/>
      <c r="G28" s="195" t="s">
        <v>365</v>
      </c>
      <c r="H28" s="732" t="s">
        <v>366</v>
      </c>
      <c r="I28" s="732"/>
      <c r="J28" s="220"/>
      <c r="K28" s="130"/>
      <c r="L28" s="133"/>
    </row>
    <row r="29" spans="1:12" ht="11.25" customHeight="1" thickBot="1">
      <c r="A29" s="220"/>
      <c r="B29" s="216" t="str">
        <f>IF(D9="","","Variable Kosten für den "&amp;D9&amp;" KW-Traktor")</f>
        <v>Variable Kosten für den 45 KW-Traktor</v>
      </c>
      <c r="C29" s="663"/>
      <c r="D29" s="733"/>
      <c r="E29" s="216"/>
      <c r="F29" s="216"/>
      <c r="G29" s="425">
        <f>IF(D9="","",IF(OR(D16="",D27=""),"noch leer",SUM(D16,D27*$C$36)))</f>
        <v>20</v>
      </c>
      <c r="H29" s="998">
        <f>IF('[2]ILeist'!H21="","",'[2]ILeist'!H21)</f>
        <v>7.34</v>
      </c>
      <c r="I29" s="370"/>
      <c r="J29" s="220"/>
      <c r="K29" s="142"/>
      <c r="L29" s="133"/>
    </row>
    <row r="30" spans="1:12" ht="11.25" customHeight="1">
      <c r="A30" s="220"/>
      <c r="B30" s="216">
        <f>IF(E9="","","Variable Kosten für den "&amp;E9&amp;" KW-Traktor")</f>
      </c>
      <c r="C30" s="663"/>
      <c r="D30" s="216"/>
      <c r="E30" s="733"/>
      <c r="F30" s="733"/>
      <c r="G30" s="719">
        <f>IF(E9="","",IF(OR(E16="",E27=""),"noch leer",SUM(E16,E27*$C$36)))</f>
      </c>
      <c r="H30" s="719">
        <f>IF('[2]ILeist'!H23="","",'[2]ILeist'!H23)</f>
      </c>
      <c r="I30" s="1001"/>
      <c r="J30" s="220"/>
      <c r="K30" s="142"/>
      <c r="L30" s="133"/>
    </row>
    <row r="31" spans="1:12" ht="11.25" customHeight="1">
      <c r="A31" s="220"/>
      <c r="B31" s="216">
        <f>IF(F9="","","Variable Kosten für den "&amp;F9&amp;" KW-Traktor")</f>
      </c>
      <c r="C31" s="663"/>
      <c r="D31" s="216"/>
      <c r="E31" s="733"/>
      <c r="F31" s="733"/>
      <c r="G31" s="719">
        <f>IF(F9="","",IF(OR(F16="",F27=""),"noch leer",SUM(F16,F27*$C$36)))</f>
      </c>
      <c r="H31" s="719">
        <f>IF('[2]ILeist'!H25="","",'[2]ILeist'!H25)</f>
      </c>
      <c r="I31" s="997"/>
      <c r="J31" s="220"/>
      <c r="K31" s="142"/>
      <c r="L31" s="133"/>
    </row>
    <row r="32" spans="1:12" ht="11.25" customHeight="1">
      <c r="A32" s="220"/>
      <c r="B32" s="262" t="s">
        <v>55</v>
      </c>
      <c r="C32" s="262"/>
      <c r="D32" s="730"/>
      <c r="E32" s="730"/>
      <c r="F32" s="730"/>
      <c r="G32" s="730"/>
      <c r="H32" s="730"/>
      <c r="I32" s="725">
        <f>SUM(I29:I31)</f>
        <v>0</v>
      </c>
      <c r="J32" s="220"/>
      <c r="K32" s="130"/>
      <c r="L32" s="133"/>
    </row>
    <row r="33" spans="1:12" ht="11.25" customHeight="1" thickBot="1">
      <c r="A33" s="220"/>
      <c r="B33" s="215" t="s">
        <v>505</v>
      </c>
      <c r="C33" s="731"/>
      <c r="D33" s="731"/>
      <c r="E33" s="731"/>
      <c r="F33" s="731"/>
      <c r="G33" s="195" t="s">
        <v>367</v>
      </c>
      <c r="H33" s="732" t="s">
        <v>368</v>
      </c>
      <c r="I33" s="732"/>
      <c r="J33" s="220"/>
      <c r="K33" s="130"/>
      <c r="L33" s="133"/>
    </row>
    <row r="34" spans="1:12" ht="11.25" customHeight="1" thickBot="1">
      <c r="A34" s="220"/>
      <c r="B34" s="216" t="str">
        <f>IF('[2]ILeist'!B61="","",'[2]ILeist'!B61)</f>
        <v>Belüftungskosten</v>
      </c>
      <c r="C34" s="663"/>
      <c r="D34" s="216"/>
      <c r="E34" s="216"/>
      <c r="F34" s="216"/>
      <c r="G34" s="222">
        <f>IF(C40="","",C40)</f>
        <v>3500</v>
      </c>
      <c r="H34" s="1002">
        <f>IF('[2]ILeist'!Q61="","",'[2]ILeist'!Q61)</f>
        <v>0.009</v>
      </c>
      <c r="I34" s="370"/>
      <c r="J34" s="220"/>
      <c r="K34" s="130"/>
      <c r="L34" s="133"/>
    </row>
    <row r="35" spans="1:12" ht="11.25" customHeight="1">
      <c r="A35" s="220"/>
      <c r="B35" s="262" t="s">
        <v>369</v>
      </c>
      <c r="C35" s="262"/>
      <c r="D35" s="730"/>
      <c r="E35" s="730"/>
      <c r="F35" s="730"/>
      <c r="G35" s="730"/>
      <c r="H35" s="734"/>
      <c r="I35" s="761">
        <f>SUM(I34)</f>
        <v>0</v>
      </c>
      <c r="J35" s="220"/>
      <c r="K35" s="130"/>
      <c r="L35" s="133"/>
    </row>
    <row r="36" spans="1:12" ht="11.25" customHeight="1" thickBot="1">
      <c r="A36" s="220"/>
      <c r="B36" s="322" t="s">
        <v>506</v>
      </c>
      <c r="C36" s="735">
        <f>C5</f>
        <v>1</v>
      </c>
      <c r="D36" s="736" t="str">
        <f>IF(C36=1," Schnitt (exkl. MWSt)"," Schnitten (exkl. MWSt)")</f>
        <v> Schnitt (exkl. MWSt)</v>
      </c>
      <c r="E36" s="737"/>
      <c r="F36" s="737"/>
      <c r="G36" s="737"/>
      <c r="H36" s="738"/>
      <c r="I36" s="906">
        <f>SUM(I16,I27*C36,I32,I35)</f>
        <v>0</v>
      </c>
      <c r="J36" s="220"/>
      <c r="K36" s="130"/>
      <c r="L36" s="133"/>
    </row>
    <row r="37" spans="1:12" ht="11.25" customHeight="1" thickBot="1">
      <c r="A37" s="220"/>
      <c r="B37" s="322" t="s">
        <v>507</v>
      </c>
      <c r="C37" s="739">
        <f>IF('[2]ILeist'!F18="","",'[2]ILeist'!F18)</f>
        <v>0.2</v>
      </c>
      <c r="D37" s="737" t="s">
        <v>370</v>
      </c>
      <c r="E37" s="737"/>
      <c r="F37" s="737"/>
      <c r="G37" s="737"/>
      <c r="H37" s="737"/>
      <c r="I37" s="434"/>
      <c r="J37" s="220"/>
      <c r="K37" s="130"/>
      <c r="L37" s="133"/>
    </row>
    <row r="38" spans="1:12" ht="18" customHeight="1">
      <c r="A38" s="220"/>
      <c r="B38" s="220"/>
      <c r="C38" s="220"/>
      <c r="D38" s="220"/>
      <c r="E38" s="220"/>
      <c r="F38" s="220"/>
      <c r="G38" s="220"/>
      <c r="H38" s="220"/>
      <c r="I38" s="220"/>
      <c r="J38" s="220"/>
      <c r="K38" s="130"/>
      <c r="L38" s="133"/>
    </row>
    <row r="39" spans="1:12" ht="11.25" customHeight="1">
      <c r="A39" s="220"/>
      <c r="B39" s="194" t="s">
        <v>371</v>
      </c>
      <c r="C39" s="194"/>
      <c r="D39" s="194"/>
      <c r="E39" s="249"/>
      <c r="F39" s="740"/>
      <c r="G39" s="741"/>
      <c r="H39" s="182" t="s">
        <v>372</v>
      </c>
      <c r="I39" s="195" t="s">
        <v>373</v>
      </c>
      <c r="J39" s="220"/>
      <c r="K39" s="130"/>
      <c r="L39" s="133"/>
    </row>
    <row r="40" spans="1:12" ht="11.25" customHeight="1">
      <c r="A40" s="220"/>
      <c r="B40" s="216" t="s">
        <v>374</v>
      </c>
      <c r="C40" s="1142">
        <f>IF('[2]ILeist'!Q65="","",'[2]ILeist'!Q65)</f>
        <v>3500</v>
      </c>
      <c r="D40" s="1142"/>
      <c r="E40" s="216" t="s">
        <v>375</v>
      </c>
      <c r="F40" s="216"/>
      <c r="G40" s="742"/>
      <c r="H40" s="719">
        <f>IF('[2]ILeist'!F69="","",'[2]ILeist'!F69)</f>
        <v>4.95</v>
      </c>
      <c r="I40" s="222">
        <f>IF(OR(C40="",H40=""),"",H40*C40)</f>
        <v>17325</v>
      </c>
      <c r="J40" s="220"/>
      <c r="K40" s="130"/>
      <c r="L40" s="133"/>
    </row>
    <row r="41" spans="1:12" ht="11.25" customHeight="1">
      <c r="A41" s="220"/>
      <c r="B41" s="216" t="s">
        <v>376</v>
      </c>
      <c r="C41" s="1146">
        <f>IF('[2]ILeist'!Q67="","",'[2]ILeist'!Q67)</f>
        <v>0.2</v>
      </c>
      <c r="D41" s="1146"/>
      <c r="E41" s="663" t="s">
        <v>377</v>
      </c>
      <c r="F41" s="663"/>
      <c r="G41" s="663"/>
      <c r="H41" s="903">
        <f>H40-H40*C41</f>
        <v>3.96</v>
      </c>
      <c r="I41" s="907">
        <f>I40-I40*C41</f>
        <v>13860</v>
      </c>
      <c r="J41" s="220"/>
      <c r="K41" s="130"/>
      <c r="L41" s="133"/>
    </row>
    <row r="42" spans="1:12" ht="3" customHeight="1">
      <c r="A42" s="220"/>
      <c r="B42" s="220"/>
      <c r="C42" s="220"/>
      <c r="D42" s="220"/>
      <c r="E42" s="192"/>
      <c r="F42" s="192"/>
      <c r="G42" s="192"/>
      <c r="H42" s="743"/>
      <c r="I42" s="744"/>
      <c r="J42" s="220"/>
      <c r="K42" s="130"/>
      <c r="L42" s="133"/>
    </row>
    <row r="43" spans="1:12" ht="11.25" customHeight="1">
      <c r="A43" s="220"/>
      <c r="B43" s="194" t="s">
        <v>378</v>
      </c>
      <c r="C43" s="194"/>
      <c r="D43" s="194"/>
      <c r="E43" s="249"/>
      <c r="F43" s="673"/>
      <c r="G43" s="673"/>
      <c r="H43" s="673"/>
      <c r="I43" s="673"/>
      <c r="J43" s="220"/>
      <c r="K43" s="130"/>
      <c r="L43" s="133"/>
    </row>
    <row r="44" spans="1:12" ht="11.25" customHeight="1">
      <c r="A44" s="220"/>
      <c r="B44" s="322" t="s">
        <v>379</v>
      </c>
      <c r="C44" s="229"/>
      <c r="D44" s="745">
        <f>IF('[2]ILeist'!H84="","",'[2]ILeist'!H84)</f>
      </c>
      <c r="E44" s="762">
        <f>I37</f>
        <v>0</v>
      </c>
      <c r="F44" s="673"/>
      <c r="G44" s="673"/>
      <c r="H44" s="673"/>
      <c r="I44" s="673"/>
      <c r="J44" s="220"/>
      <c r="K44" s="130"/>
      <c r="L44" s="133"/>
    </row>
    <row r="45" spans="1:12" ht="3" customHeight="1">
      <c r="A45" s="220"/>
      <c r="B45" s="220"/>
      <c r="C45" s="220"/>
      <c r="D45" s="220"/>
      <c r="E45" s="192"/>
      <c r="F45" s="192"/>
      <c r="G45" s="192"/>
      <c r="H45" s="743"/>
      <c r="I45" s="744"/>
      <c r="J45" s="220"/>
      <c r="K45" s="130"/>
      <c r="L45" s="133"/>
    </row>
    <row r="46" spans="1:12" ht="11.25" customHeight="1">
      <c r="A46" s="220"/>
      <c r="B46" s="215" t="s">
        <v>380</v>
      </c>
      <c r="C46" s="746"/>
      <c r="D46" s="195"/>
      <c r="E46" s="194"/>
      <c r="F46" s="673"/>
      <c r="G46" s="673"/>
      <c r="H46" s="673"/>
      <c r="I46" s="673"/>
      <c r="J46" s="220"/>
      <c r="K46" s="130"/>
      <c r="L46" s="133"/>
    </row>
    <row r="47" spans="1:12" ht="11.25" customHeight="1">
      <c r="A47" s="220"/>
      <c r="B47" s="216">
        <f>IF('[2]ILeist'!C73="","",'[2]ILeist'!C73)</f>
      </c>
      <c r="C47" s="747">
        <f>IF('[2]ILeist'!Q73="","",'[2]ILeist'!Q73)</f>
      </c>
      <c r="D47" s="719">
        <f>IF('[2]ILeist'!R73="","",'[2]ILeist'!R73)</f>
      </c>
      <c r="E47" s="719"/>
      <c r="F47" s="673"/>
      <c r="G47" s="673"/>
      <c r="H47" s="673"/>
      <c r="I47" s="673"/>
      <c r="J47" s="220"/>
      <c r="K47" s="130"/>
      <c r="L47" s="133"/>
    </row>
    <row r="48" spans="1:12" ht="11.25" customHeight="1">
      <c r="A48" s="220"/>
      <c r="B48" s="216">
        <f>IF('[2]ILeist'!C75="","",'[2]ILeist'!C75)</f>
      </c>
      <c r="C48" s="747">
        <f>IF('[2]ILeist'!Q75="","",'[2]ILeist'!Q75)</f>
      </c>
      <c r="D48" s="719">
        <f>IF('[2]ILeist'!R75="","",'[2]ILeist'!R75)</f>
      </c>
      <c r="E48" s="719"/>
      <c r="F48" s="673"/>
      <c r="G48" s="673"/>
      <c r="H48" s="673"/>
      <c r="I48" s="673"/>
      <c r="J48" s="220"/>
      <c r="K48" s="130"/>
      <c r="L48" s="717"/>
    </row>
    <row r="49" spans="1:12" ht="11.25" customHeight="1">
      <c r="A49" s="220"/>
      <c r="B49" s="322" t="s">
        <v>381</v>
      </c>
      <c r="C49" s="220"/>
      <c r="D49" s="220"/>
      <c r="E49" s="743"/>
      <c r="F49" s="673"/>
      <c r="G49" s="673"/>
      <c r="H49" s="673"/>
      <c r="I49" s="673"/>
      <c r="J49" s="220"/>
      <c r="K49" s="130"/>
      <c r="L49" s="717"/>
    </row>
    <row r="50" spans="1:12" ht="3" customHeight="1">
      <c r="A50" s="220"/>
      <c r="B50" s="220"/>
      <c r="C50" s="220"/>
      <c r="D50" s="220"/>
      <c r="E50" s="192"/>
      <c r="F50" s="192"/>
      <c r="G50" s="192"/>
      <c r="H50" s="743"/>
      <c r="I50" s="744"/>
      <c r="J50" s="220"/>
      <c r="K50" s="130"/>
      <c r="L50" s="717"/>
    </row>
    <row r="51" spans="1:12" ht="11.25" customHeight="1">
      <c r="A51" s="220"/>
      <c r="B51" s="215" t="s">
        <v>382</v>
      </c>
      <c r="C51" s="746">
        <f>IF('[2]ILeist'!F77="","",'[2]ILeist'!F77)</f>
      </c>
      <c r="D51" s="195">
        <f>IF('[2]ILeist'!H77="","",'[2]ILeist'!H77)</f>
      </c>
      <c r="E51" s="249"/>
      <c r="F51" s="220"/>
      <c r="G51" s="220"/>
      <c r="H51" s="220"/>
      <c r="I51" s="220"/>
      <c r="J51" s="220"/>
      <c r="K51" s="130"/>
      <c r="L51" s="717"/>
    </row>
    <row r="52" spans="1:12" ht="11.25" customHeight="1">
      <c r="A52" s="220"/>
      <c r="B52" s="216">
        <f>IF('[2]ILeist'!C78="","",'[2]ILeist'!C78)</f>
      </c>
      <c r="C52" s="747">
        <f>IF('[2]ILeist'!Q78="","",'[2]ILeist'!Q78)</f>
      </c>
      <c r="D52" s="719">
        <f>IF('[2]ILeist'!R78="","",'[2]ILeist'!R78)</f>
      </c>
      <c r="E52" s="719"/>
      <c r="F52" s="220"/>
      <c r="G52" s="220"/>
      <c r="H52" s="220"/>
      <c r="I52" s="220"/>
      <c r="J52" s="220"/>
      <c r="K52" s="130"/>
      <c r="L52" s="717"/>
    </row>
    <row r="53" spans="1:12" ht="11.25" customHeight="1">
      <c r="A53" s="220"/>
      <c r="B53" s="216">
        <f>IF('[2]ILeist'!C80="","",'[2]ILeist'!C80)</f>
      </c>
      <c r="C53" s="747">
        <f>IF('[2]ILeist'!Q80="","",'[2]ILeist'!Q80)</f>
      </c>
      <c r="D53" s="719">
        <f>IF('[2]ILeist'!R80="","",'[2]ILeist'!R80)</f>
      </c>
      <c r="E53" s="719"/>
      <c r="F53" s="220"/>
      <c r="G53" s="220"/>
      <c r="H53" s="220"/>
      <c r="I53" s="220"/>
      <c r="J53" s="220"/>
      <c r="K53" s="130"/>
      <c r="L53" s="717"/>
    </row>
    <row r="54" spans="1:12" ht="11.25" customHeight="1">
      <c r="A54" s="220"/>
      <c r="B54" s="216">
        <f>IF('[2]ILeist'!C82="","",'[2]ILeist'!C82)</f>
      </c>
      <c r="C54" s="747">
        <f>IF('[2]ILeist'!Q82="","",'[2]ILeist'!Q82)</f>
      </c>
      <c r="D54" s="719">
        <f>IF('[2]ILeist'!R82="","",'[2]ILeist'!R82)</f>
      </c>
      <c r="E54" s="719"/>
      <c r="F54" s="220"/>
      <c r="G54" s="220"/>
      <c r="H54" s="220"/>
      <c r="I54" s="220"/>
      <c r="J54" s="220"/>
      <c r="K54" s="130"/>
      <c r="L54" s="717"/>
    </row>
    <row r="55" spans="1:12" ht="11.25" customHeight="1">
      <c r="A55" s="220"/>
      <c r="B55" s="322" t="s">
        <v>383</v>
      </c>
      <c r="C55" s="759">
        <f>IF('[2]ILeist'!F83="","",'[2]ILeist'!F83)</f>
      </c>
      <c r="D55" s="743">
        <f>IF('[2]ILeist'!H83="","",'[2]ILeist'!H83)</f>
      </c>
      <c r="E55" s="743"/>
      <c r="F55" s="220"/>
      <c r="G55" s="220"/>
      <c r="H55" s="220"/>
      <c r="I55" s="220"/>
      <c r="J55" s="220"/>
      <c r="K55" s="130"/>
      <c r="L55" s="717"/>
    </row>
    <row r="56" spans="1:12" ht="3" customHeight="1">
      <c r="A56" s="220"/>
      <c r="B56" s="220"/>
      <c r="C56" s="220"/>
      <c r="D56" s="220"/>
      <c r="E56" s="192"/>
      <c r="F56" s="192"/>
      <c r="G56" s="192"/>
      <c r="H56" s="743"/>
      <c r="I56" s="744"/>
      <c r="J56" s="220"/>
      <c r="K56" s="130"/>
      <c r="L56" s="717"/>
    </row>
    <row r="57" spans="1:12" ht="11.25" customHeight="1">
      <c r="A57" s="220"/>
      <c r="B57" s="215" t="s">
        <v>384</v>
      </c>
      <c r="C57" s="249"/>
      <c r="D57" s="249"/>
      <c r="E57" s="249"/>
      <c r="F57" s="673"/>
      <c r="G57" s="748"/>
      <c r="H57" s="673"/>
      <c r="I57" s="749"/>
      <c r="J57" s="220"/>
      <c r="K57" s="130"/>
      <c r="L57" s="133"/>
    </row>
    <row r="58" spans="1:12" ht="11.25" customHeight="1">
      <c r="A58" s="220"/>
      <c r="B58" s="216">
        <f>IF('[2]ILeist'!C85="","",'[2]ILeist'!C85)</f>
      </c>
      <c r="C58" s="192"/>
      <c r="D58" s="192"/>
      <c r="E58" s="719">
        <f>IF('[2]ILeist'!Q85="","",'[2]ILeist'!Q85)</f>
      </c>
      <c r="F58" s="673"/>
      <c r="G58" s="750"/>
      <c r="H58" s="673"/>
      <c r="I58" s="749"/>
      <c r="J58" s="220"/>
      <c r="K58" s="130"/>
      <c r="L58" s="133"/>
    </row>
    <row r="59" spans="1:12" ht="11.25" customHeight="1">
      <c r="A59" s="220"/>
      <c r="B59" s="216">
        <f>IF('[2]ILeist'!C87="","",'[2]ILeist'!C87)</f>
      </c>
      <c r="C59" s="192"/>
      <c r="D59" s="192"/>
      <c r="E59" s="719">
        <f>IF('[2]ILeist'!Q87="","",'[2]ILeist'!Q87)</f>
      </c>
      <c r="F59" s="673"/>
      <c r="G59" s="220"/>
      <c r="H59" s="220"/>
      <c r="I59" s="220"/>
      <c r="J59" s="220"/>
      <c r="K59" s="130"/>
      <c r="L59" s="133"/>
    </row>
    <row r="60" spans="1:12" ht="11.25" customHeight="1">
      <c r="A60" s="220"/>
      <c r="B60" s="216">
        <f>IF('[2]ILeist'!C89="","",'[2]ILeist'!C89)</f>
      </c>
      <c r="C60" s="192"/>
      <c r="D60" s="192"/>
      <c r="E60" s="719">
        <f>IF('[2]ILeist'!Q89="","",'[2]ILeist'!Q89)</f>
      </c>
      <c r="F60" s="673"/>
      <c r="G60" s="1150">
        <f>C40</f>
        <v>3500</v>
      </c>
      <c r="H60" s="1150"/>
      <c r="I60" s="751">
        <f>G65</f>
        <v>0.86</v>
      </c>
      <c r="J60" s="220"/>
      <c r="K60" s="130"/>
      <c r="L60" s="133"/>
    </row>
    <row r="61" spans="1:12" ht="11.25" customHeight="1">
      <c r="A61" s="220"/>
      <c r="B61" s="322" t="s">
        <v>385</v>
      </c>
      <c r="C61" s="220"/>
      <c r="D61" s="220"/>
      <c r="E61" s="743"/>
      <c r="F61" s="673"/>
      <c r="G61" s="1151">
        <f>G60*I61/I60</f>
        <v>4069.767441860465</v>
      </c>
      <c r="H61" s="1151"/>
      <c r="I61" s="751">
        <v>1</v>
      </c>
      <c r="J61" s="220"/>
      <c r="K61" s="130"/>
      <c r="L61" s="133"/>
    </row>
    <row r="62" spans="1:12" ht="18" customHeight="1">
      <c r="A62" s="220"/>
      <c r="B62" s="220"/>
      <c r="C62" s="220"/>
      <c r="D62" s="752"/>
      <c r="E62" s="719"/>
      <c r="F62" s="719"/>
      <c r="G62" s="220"/>
      <c r="H62" s="220"/>
      <c r="I62" s="220"/>
      <c r="J62" s="220"/>
      <c r="K62" s="130"/>
      <c r="L62" s="133"/>
    </row>
    <row r="63" spans="1:12" ht="11.25" customHeight="1">
      <c r="A63" s="220"/>
      <c r="B63" s="194" t="s">
        <v>386</v>
      </c>
      <c r="C63" s="249"/>
      <c r="D63" s="753"/>
      <c r="E63" s="728"/>
      <c r="F63" s="719"/>
      <c r="G63" s="1147" t="s">
        <v>387</v>
      </c>
      <c r="H63" s="1147"/>
      <c r="I63" s="1147"/>
      <c r="J63" s="220"/>
      <c r="K63" s="130"/>
      <c r="L63" s="760"/>
    </row>
    <row r="64" spans="1:12" ht="11.25" customHeight="1">
      <c r="A64" s="220"/>
      <c r="B64" s="663" t="s">
        <v>388</v>
      </c>
      <c r="C64" s="754"/>
      <c r="D64" s="755"/>
      <c r="E64" s="425">
        <f>SUM(E44,E49,E55,E61)</f>
        <v>0</v>
      </c>
      <c r="F64" s="719"/>
      <c r="G64" s="1148" t="str">
        <f>IF('[2]ILeist'!H16="","","1kg "&amp;'[2]ILeist'!H16&amp;" bei")</f>
        <v>1kg Heu bei</v>
      </c>
      <c r="H64" s="1148"/>
      <c r="I64" s="1148"/>
      <c r="J64" s="220"/>
      <c r="K64" s="130"/>
      <c r="L64" s="760"/>
    </row>
    <row r="65" spans="1:12" ht="11.25" customHeight="1" thickBot="1">
      <c r="A65" s="220"/>
      <c r="B65" s="663" t="s">
        <v>389</v>
      </c>
      <c r="C65" s="183"/>
      <c r="D65" s="664">
        <f>IF('[2]ILeist'!H90="","",'[2]ILeist'!H90)</f>
      </c>
      <c r="E65" s="715">
        <f>SUM(C16,C27*C36)</f>
        <v>32.13333333333333</v>
      </c>
      <c r="F65" s="743"/>
      <c r="G65" s="1149">
        <f>IF('[2]ILeist'!F16="","",'[2]ILeist'!F16)</f>
        <v>0.86</v>
      </c>
      <c r="H65" s="1149"/>
      <c r="I65" s="1149"/>
      <c r="J65" s="220"/>
      <c r="K65" s="130"/>
      <c r="L65" s="760"/>
    </row>
    <row r="66" spans="1:12" ht="11.25" customHeight="1" thickBot="1">
      <c r="A66" s="220"/>
      <c r="B66" s="756" t="s">
        <v>390</v>
      </c>
      <c r="C66" s="757"/>
      <c r="D66" s="758"/>
      <c r="E66" s="454"/>
      <c r="F66" s="743"/>
      <c r="G66" s="1143">
        <f>E64/C40*G65</f>
        <v>0</v>
      </c>
      <c r="H66" s="1144"/>
      <c r="I66" s="1145"/>
      <c r="J66" s="220"/>
      <c r="K66" s="130"/>
      <c r="L66" s="760"/>
    </row>
    <row r="67" spans="1:12" ht="11.25" customHeight="1">
      <c r="A67" s="220"/>
      <c r="B67" s="220"/>
      <c r="C67" s="759"/>
      <c r="D67" s="220"/>
      <c r="E67" s="220"/>
      <c r="F67" s="220"/>
      <c r="G67" s="220"/>
      <c r="H67" s="220"/>
      <c r="I67" s="220"/>
      <c r="J67" s="220"/>
      <c r="K67" s="130"/>
      <c r="L67" s="760"/>
    </row>
    <row r="68" ht="11.25" customHeight="1" hidden="1"/>
    <row r="69" ht="11.25" customHeight="1" hidden="1"/>
    <row r="70" ht="11.25" customHeight="1" hidden="1"/>
    <row r="71" ht="11.25" customHeight="1" hidden="1"/>
    <row r="72" ht="11.25" customHeight="1" hidden="1"/>
    <row r="73" ht="11.25" customHeight="1" hidden="1"/>
    <row r="74" ht="11.25" customHeight="1" hidden="1"/>
    <row r="75" ht="11.25" customHeight="1" hidden="1"/>
    <row r="76" ht="11.25" customHeight="1" hidden="1"/>
    <row r="77" ht="11.25" customHeight="1" hidden="1"/>
    <row r="78" ht="11.25" customHeight="1" hidden="1"/>
    <row r="79" ht="11.25" customHeight="1" hidden="1"/>
    <row r="80" ht="11.25" customHeight="1" hidden="1"/>
    <row r="81" ht="11.25" customHeight="1" hidden="1"/>
    <row r="82" ht="11.25" customHeight="1" hidden="1"/>
    <row r="83" ht="11.25" customHeight="1" hidden="1"/>
    <row r="84" ht="11.25" customHeight="1" hidden="1"/>
    <row r="85" ht="11.25" customHeight="1" hidden="1"/>
    <row r="86" ht="11.25" customHeight="1" hidden="1"/>
    <row r="87" ht="11.25" customHeight="1" hidden="1"/>
    <row r="88" ht="11.25" customHeight="1" hidden="1"/>
    <row r="89" ht="11.25" customHeight="1" hidden="1"/>
    <row r="90" ht="11.25" customHeight="1" hidden="1"/>
    <row r="91" ht="11.25" customHeight="1" hidden="1"/>
    <row r="92" ht="11.25" customHeight="1" hidden="1"/>
    <row r="93" ht="11.25" customHeight="1" hidden="1"/>
    <row r="94" ht="11.25" customHeight="1" hidden="1"/>
    <row r="95" ht="11.25" customHeight="1" hidden="1"/>
    <row r="96" ht="11.25" customHeight="1" hidden="1"/>
    <row r="97" ht="11.25" customHeight="1" hidden="1"/>
    <row r="98" ht="11.25" customHeight="1" hidden="1"/>
    <row r="99" ht="11.25" customHeight="1" hidden="1"/>
    <row r="100" ht="11.25" customHeight="1" hidden="1"/>
    <row r="101" ht="11.25" customHeight="1" hidden="1"/>
    <row r="102" ht="11.25" customHeight="1" hidden="1"/>
    <row r="103" ht="11.25" customHeight="1" hidden="1"/>
    <row r="104" ht="11.25" customHeight="1" hidden="1"/>
    <row r="105" ht="11.25" customHeight="1" hidden="1"/>
    <row r="106" ht="11.25" customHeight="1" hidden="1"/>
    <row r="107" ht="11.25" customHeight="1" hidden="1"/>
    <row r="108" ht="11.25" customHeight="1" hidden="1"/>
    <row r="109" ht="11.25" customHeight="1" hidden="1"/>
    <row r="110" ht="11.25" customHeight="1" hidden="1"/>
    <row r="111" ht="11.25" customHeight="1" hidden="1"/>
    <row r="112" ht="11.25" customHeight="1" hidden="1"/>
    <row r="113" ht="11.25" customHeight="1" hidden="1"/>
    <row r="114" ht="11.25" customHeight="1" hidden="1"/>
    <row r="115" ht="11.25" customHeight="1" hidden="1"/>
    <row r="116" ht="11.25" customHeight="1" hidden="1"/>
    <row r="117" ht="11.25" customHeight="1" hidden="1"/>
    <row r="118" ht="11.25" customHeight="1" hidden="1"/>
    <row r="119" ht="11.25" customHeight="1" hidden="1"/>
    <row r="120" ht="11.25" customHeight="1" hidden="1"/>
    <row r="121" ht="11.25" customHeight="1" hidden="1"/>
    <row r="122" ht="11.25" customHeight="1" hidden="1"/>
    <row r="123" ht="11.25" customHeight="1" hidden="1"/>
    <row r="124" ht="11.25" customHeight="1" hidden="1"/>
    <row r="125" ht="11.25" customHeight="1" hidden="1"/>
    <row r="126" ht="11.25" customHeight="1" hidden="1"/>
    <row r="127" ht="11.25" customHeight="1" hidden="1"/>
    <row r="128" ht="11.25" customHeight="1" hidden="1"/>
    <row r="129" ht="11.25" customHeight="1" hidden="1"/>
    <row r="130" ht="11.25" customHeight="1" hidden="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row r="146" ht="11.25" customHeight="1" hidden="1"/>
    <row r="147" ht="11.25" customHeight="1" hidden="1"/>
    <row r="148" ht="11.25" customHeight="1" hidden="1"/>
    <row r="149" ht="11.25" customHeight="1" hidden="1"/>
    <row r="150" ht="11.25" customHeight="1" hidden="1"/>
    <row r="151" ht="11.25" customHeight="1" hidden="1"/>
    <row r="152" ht="11.25" customHeight="1" hidden="1"/>
    <row r="153" ht="11.25" customHeight="1" hidden="1"/>
    <row r="154" ht="11.25" customHeight="1" hidden="1"/>
    <row r="155" ht="11.25" customHeight="1" hidden="1"/>
    <row r="156" ht="11.25" customHeight="1" hidden="1"/>
    <row r="157" ht="11.25" customHeight="1" hidden="1"/>
    <row r="158" ht="11.25" customHeight="1" hidden="1"/>
    <row r="159" ht="11.25" customHeight="1" hidden="1"/>
    <row r="160" ht="11.25" customHeight="1" hidden="1"/>
    <row r="161" ht="11.25" customHeight="1" hidden="1"/>
    <row r="162" ht="11.25" customHeight="1" hidden="1"/>
    <row r="163" ht="11.25" customHeight="1" hidden="1"/>
    <row r="164" ht="11.25" customHeight="1" hidden="1"/>
    <row r="165" ht="11.25" customHeight="1" hidden="1"/>
    <row r="166" ht="11.25" customHeight="1" hidden="1"/>
    <row r="167" ht="11.25" customHeight="1" hidden="1"/>
    <row r="168" ht="11.25" customHeight="1" hidden="1"/>
    <row r="169" ht="11.25" customHeight="1" hidden="1"/>
    <row r="170" ht="11.25" customHeight="1" hidden="1"/>
    <row r="171" ht="11.25" customHeight="1" hidden="1"/>
    <row r="172" ht="11.25" customHeight="1" hidden="1"/>
    <row r="173" ht="11.25" customHeight="1" hidden="1"/>
    <row r="174" ht="11.25" customHeight="1" hidden="1"/>
    <row r="175" ht="11.25" customHeight="1" hidden="1"/>
    <row r="176" ht="11.25" customHeight="1" hidden="1"/>
    <row r="177" ht="11.25" customHeight="1" hidden="1"/>
    <row r="178" ht="11.25" customHeight="1" hidden="1"/>
    <row r="179" ht="11.25" customHeight="1" hidden="1"/>
    <row r="180" ht="11.25" customHeight="1" hidden="1"/>
    <row r="181" ht="11.25" customHeight="1" hidden="1"/>
    <row r="182" ht="11.25" customHeight="1" hidden="1"/>
    <row r="183" ht="11.25" customHeight="1" hidden="1"/>
    <row r="184" ht="11.25" customHeight="1" hidden="1"/>
    <row r="185" ht="11.25" customHeight="1" hidden="1"/>
    <row r="186" ht="11.25" customHeight="1" hidden="1"/>
    <row r="187" ht="11.25" customHeight="1" hidden="1"/>
    <row r="188" ht="11.25" customHeight="1" hidden="1"/>
    <row r="189" ht="11.25" customHeight="1" hidden="1"/>
    <row r="190" ht="11.25" customHeight="1" hidden="1"/>
    <row r="191" ht="11.25" customHeight="1" hidden="1"/>
    <row r="192" ht="11.25" customHeight="1" hidden="1"/>
    <row r="193" ht="11.25" customHeight="1" hidden="1"/>
    <row r="194" ht="11.25" customHeight="1" hidden="1"/>
    <row r="195" ht="11.25" customHeight="1" hidden="1"/>
    <row r="196" ht="11.25" customHeight="1" hidden="1"/>
    <row r="197" ht="11.25" customHeight="1" hidden="1"/>
    <row r="198" ht="11.25" customHeight="1" hidden="1"/>
    <row r="199" ht="11.25" customHeight="1" hidden="1"/>
    <row r="200" ht="11.25" customHeight="1" hidden="1"/>
    <row r="201" ht="11.25" customHeight="1" hidden="1"/>
    <row r="202" ht="11.25" customHeight="1" hidden="1"/>
    <row r="203" ht="11.25" customHeight="1" hidden="1"/>
    <row r="204" ht="11.25" customHeight="1" hidden="1"/>
    <row r="205" ht="11.25" customHeight="1" hidden="1"/>
    <row r="206" ht="11.25" customHeight="1" hidden="1"/>
    <row r="207" ht="11.25" customHeight="1" hidden="1"/>
    <row r="208" ht="11.25" customHeight="1" hidden="1"/>
    <row r="209" ht="11.25" customHeight="1" hidden="1"/>
    <row r="210" ht="11.25" customHeight="1" hidden="1"/>
    <row r="211" ht="11.25" customHeight="1" hidden="1"/>
    <row r="212" ht="11.25" customHeight="1" hidden="1"/>
    <row r="213" ht="11.25" customHeight="1" hidden="1"/>
    <row r="214" ht="11.25" customHeight="1" hidden="1"/>
    <row r="215" ht="11.25" customHeight="1" hidden="1"/>
    <row r="216" ht="11.25" customHeight="1" hidden="1"/>
    <row r="217" ht="11.25" customHeight="1" hidden="1"/>
    <row r="218" ht="11.25" customHeight="1" hidden="1"/>
    <row r="219" ht="11.25" customHeight="1" hidden="1"/>
    <row r="220" ht="11.25" customHeight="1" hidden="1"/>
    <row r="221" ht="11.25" customHeight="1" hidden="1"/>
    <row r="222" ht="11.25" customHeight="1" hidden="1"/>
    <row r="223" ht="11.25" customHeight="1" hidden="1"/>
    <row r="224" ht="11.25" customHeight="1" hidden="1"/>
    <row r="225" ht="11.25" customHeight="1" hidden="1"/>
    <row r="226" ht="11.25" customHeight="1" hidden="1"/>
    <row r="227" ht="11.25" customHeight="1" hidden="1"/>
    <row r="228" ht="11.25" customHeight="1" hidden="1"/>
    <row r="229" ht="11.25" customHeight="1" hidden="1"/>
    <row r="230" ht="11.25" customHeight="1" hidden="1"/>
    <row r="231" ht="11.25" customHeight="1" hidden="1"/>
    <row r="232" ht="11.25" customHeight="1" hidden="1"/>
    <row r="233" ht="11.25" customHeight="1" hidden="1"/>
    <row r="234" ht="11.25" customHeight="1" hidden="1"/>
    <row r="235" ht="11.25" customHeight="1" hidden="1"/>
    <row r="236" ht="11.25" customHeight="1" hidden="1"/>
    <row r="237" ht="11.25" customHeight="1" hidden="1"/>
    <row r="238" ht="11.25" customHeight="1" hidden="1"/>
    <row r="239" ht="11.25" customHeight="1" hidden="1"/>
    <row r="240" ht="11.25" customHeight="1" hidden="1"/>
    <row r="241" ht="11.25" customHeight="1" hidden="1"/>
    <row r="242" ht="11.25" customHeight="1" hidden="1"/>
    <row r="243" ht="11.25" customHeight="1" hidden="1"/>
    <row r="244" ht="11.25" customHeight="1" hidden="1"/>
    <row r="245" ht="11.25" customHeight="1" hidden="1"/>
    <row r="246" ht="11.25" customHeight="1" hidden="1"/>
    <row r="247" ht="11.25" customHeight="1" hidden="1"/>
    <row r="248" ht="11.25" customHeight="1" hidden="1"/>
    <row r="249" ht="11.25" customHeight="1" hidden="1"/>
    <row r="250" ht="11.25" customHeight="1" hidden="1"/>
    <row r="251" ht="11.25" customHeight="1" hidden="1"/>
    <row r="252" ht="11.25" customHeight="1" hidden="1"/>
    <row r="253" ht="11.25" customHeight="1" hidden="1"/>
    <row r="254" ht="11.25" customHeight="1" hidden="1"/>
    <row r="255" ht="11.25" customHeight="1" hidden="1"/>
    <row r="256" ht="11.25" customHeight="1" hidden="1"/>
    <row r="257" ht="11.25" customHeight="1" hidden="1"/>
    <row r="258" ht="11.25" customHeight="1" hidden="1"/>
    <row r="259" ht="11.25" customHeight="1" hidden="1"/>
    <row r="260" ht="11.25" customHeight="1" hidden="1"/>
    <row r="261" ht="11.25" customHeight="1" hidden="1"/>
    <row r="262" ht="11.25" customHeight="1" hidden="1"/>
    <row r="263" ht="11.25" customHeight="1" hidden="1"/>
    <row r="264" ht="11.25" customHeight="1" hidden="1"/>
    <row r="265" ht="11.25" customHeight="1" hidden="1"/>
    <row r="266" ht="11.25" customHeight="1" hidden="1"/>
    <row r="267" ht="11.25" customHeight="1" hidden="1"/>
    <row r="268" ht="11.25" customHeight="1" hidden="1"/>
    <row r="269" ht="11.25" customHeight="1" hidden="1"/>
    <row r="270" ht="11.25" customHeight="1" hidden="1"/>
    <row r="271" ht="11.25" customHeight="1" hidden="1"/>
    <row r="272" ht="11.25" customHeight="1" hidden="1"/>
    <row r="273" ht="11.25" customHeight="1" hidden="1"/>
    <row r="274" ht="11.25" customHeight="1" hidden="1"/>
    <row r="275" ht="11.25" customHeight="1" hidden="1"/>
  </sheetData>
  <sheetProtection sheet="1" objects="1" scenarios="1"/>
  <mergeCells count="12">
    <mergeCell ref="G60:H60"/>
    <mergeCell ref="G61:H61"/>
    <mergeCell ref="L1:L6"/>
    <mergeCell ref="A1:A2"/>
    <mergeCell ref="C4:D4"/>
    <mergeCell ref="C5:D5"/>
    <mergeCell ref="C40:D40"/>
    <mergeCell ref="G66:I66"/>
    <mergeCell ref="C41:D41"/>
    <mergeCell ref="G63:I63"/>
    <mergeCell ref="G64:I64"/>
    <mergeCell ref="G65:I65"/>
  </mergeCells>
  <conditionalFormatting sqref="I13 I18:I22">
    <cfRule type="expression" priority="3" dxfId="41" stopIfTrue="1">
      <formula>OR($C13="",$H13="")</formula>
    </cfRule>
  </conditionalFormatting>
  <conditionalFormatting sqref="D9">
    <cfRule type="expression" priority="4" dxfId="23" stopIfTrue="1">
      <formula>B9=""</formula>
    </cfRule>
    <cfRule type="expression" priority="5" dxfId="198" stopIfTrue="1">
      <formula>C9&lt;&gt;" kg"</formula>
    </cfRule>
  </conditionalFormatting>
  <conditionalFormatting sqref="I34">
    <cfRule type="expression" priority="6" dxfId="41" stopIfTrue="1">
      <formula>OR($H34="")</formula>
    </cfRule>
  </conditionalFormatting>
  <conditionalFormatting sqref="I29">
    <cfRule type="expression" priority="8" dxfId="41" stopIfTrue="1">
      <formula>OR($G29="",$H29="")</formula>
    </cfRule>
  </conditionalFormatting>
  <conditionalFormatting sqref="D62:D66 F62:F66 E62:E63 H50:I50 H42:I42 H40:I40 C40:D41 H45:I45 H56:I56 C36 C4:D5 G34 H35:H36 C23:H26 C11:F15 G11:H12 G14:H16 G13 C18:G22">
    <cfRule type="cellIs" priority="9" dxfId="199" operator="notEqual" stopIfTrue="1">
      <formula>""</formula>
    </cfRule>
  </conditionalFormatting>
  <conditionalFormatting sqref="G66">
    <cfRule type="cellIs" priority="10" dxfId="1" operator="equal" stopIfTrue="1">
      <formula>"noch leer!"</formula>
    </cfRule>
  </conditionalFormatting>
  <conditionalFormatting sqref="C37">
    <cfRule type="cellIs" priority="12" dxfId="52" operator="equal" stopIfTrue="1">
      <formula>""</formula>
    </cfRule>
  </conditionalFormatting>
  <conditionalFormatting sqref="C27:D27 C16:D16">
    <cfRule type="expression" priority="13" dxfId="74" stopIfTrue="1">
      <formula>$D$9=""</formula>
    </cfRule>
  </conditionalFormatting>
  <conditionalFormatting sqref="G29">
    <cfRule type="cellIs" priority="16" dxfId="1" operator="equal" stopIfTrue="1">
      <formula>"noch leer"</formula>
    </cfRule>
    <cfRule type="cellIs" priority="17" dxfId="52" operator="equal" stopIfTrue="1">
      <formula>""</formula>
    </cfRule>
  </conditionalFormatting>
  <conditionalFormatting sqref="E9">
    <cfRule type="expression" priority="20" dxfId="23" stopIfTrue="1">
      <formula>B9=""</formula>
    </cfRule>
    <cfRule type="expression" priority="21" dxfId="198" stopIfTrue="1">
      <formula>D9&lt;&gt;" kg"</formula>
    </cfRule>
  </conditionalFormatting>
  <conditionalFormatting sqref="F9">
    <cfRule type="expression" priority="22" dxfId="23" stopIfTrue="1">
      <formula>B9=""</formula>
    </cfRule>
    <cfRule type="expression" priority="23" dxfId="198" stopIfTrue="1">
      <formula>E9&lt;&gt;" kg"</formula>
    </cfRule>
  </conditionalFormatting>
  <conditionalFormatting sqref="I11">
    <cfRule type="cellIs" priority="24" dxfId="200" operator="equal" stopIfTrue="1">
      <formula>"noch leer"</formula>
    </cfRule>
    <cfRule type="cellIs" priority="25" dxfId="199" operator="notEqual" stopIfTrue="1">
      <formula>""</formula>
    </cfRule>
  </conditionalFormatting>
  <conditionalFormatting sqref="E16:F16">
    <cfRule type="cellIs" priority="2" dxfId="199" operator="notEqual" stopIfTrue="1">
      <formula>""</formula>
    </cfRule>
  </conditionalFormatting>
  <conditionalFormatting sqref="G30:H31">
    <cfRule type="cellIs" priority="1" dxfId="199" operator="notEqual" stopIfTrue="1">
      <formula>""</formula>
    </cfRule>
  </conditionalFormatting>
  <printOptions horizontalCentered="1"/>
  <pageMargins left="0.3937007874015748" right="0.3937007874015748" top="0.5905511811023623" bottom="0.3937007874015748" header="0" footer="0"/>
  <pageSetup blackAndWhite="1" horizontalDpi="300" verticalDpi="300" orientation="portrait" paperSize="9" r:id="rId4"/>
  <headerFooter alignWithMargins="0">
    <oddHeader>&amp;R&amp;8&amp;U&amp;F - Seite &amp;P/&amp;N</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e&amp;wh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 Harasleben</dc:creator>
  <cp:keywords/>
  <dc:description/>
  <cp:lastModifiedBy>Windows-Benutzer</cp:lastModifiedBy>
  <cp:lastPrinted>2007-05-05T18:59:56Z</cp:lastPrinted>
  <dcterms:created xsi:type="dcterms:W3CDTF">2007-02-22T21:16:57Z</dcterms:created>
  <dcterms:modified xsi:type="dcterms:W3CDTF">2017-05-24T13:12:19Z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